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155" yWindow="300" windowWidth="16395" windowHeight="11580" tabRatio="846"/>
  </bookViews>
  <sheets>
    <sheet name="prorata JP" sheetId="28" r:id="rId1"/>
  </sheets>
  <calcPr calcId="145621"/>
</workbook>
</file>

<file path=xl/calcChain.xml><?xml version="1.0" encoding="utf-8"?>
<calcChain xmlns="http://schemas.openxmlformats.org/spreadsheetml/2006/main">
  <c r="L4" i="28" l="1"/>
  <c r="B26" i="28" l="1"/>
  <c r="B10" i="28"/>
  <c r="P11" i="28" l="1"/>
  <c r="C29" i="28"/>
  <c r="M11" i="28"/>
  <c r="V11" i="28" l="1"/>
  <c r="D35" i="28"/>
  <c r="B35" i="28"/>
  <c r="C35" i="28"/>
  <c r="D12" i="28"/>
  <c r="D15" i="28" s="1"/>
  <c r="B19" i="28"/>
  <c r="B37" i="28"/>
  <c r="B21" i="28"/>
  <c r="D19" i="28"/>
  <c r="D21" i="28" s="1"/>
  <c r="B36" i="28"/>
  <c r="B30" i="28"/>
  <c r="B27" i="28"/>
  <c r="D29" i="28"/>
  <c r="D31" i="28" l="1"/>
  <c r="D37" i="28"/>
  <c r="D28" i="28"/>
  <c r="O11" i="28"/>
  <c r="B8" i="28" s="1"/>
  <c r="L11" i="28"/>
  <c r="C12" i="28" s="1"/>
  <c r="C28" i="28" s="1"/>
  <c r="K11" i="28"/>
  <c r="B15" i="28" s="1"/>
  <c r="C15" i="28" l="1"/>
  <c r="B31" i="28"/>
  <c r="B12" i="28"/>
  <c r="B28" i="28" s="1"/>
  <c r="B13" i="28"/>
  <c r="B29" i="28" s="1"/>
  <c r="D23" i="28" l="1"/>
  <c r="C16" i="28"/>
  <c r="C32" i="28" s="1"/>
  <c r="D16" i="28"/>
  <c r="D32" i="28" s="1"/>
  <c r="B16" i="28"/>
  <c r="B32" i="28" s="1"/>
  <c r="B23" i="28"/>
  <c r="C23" i="28"/>
  <c r="C24" i="28" s="1"/>
  <c r="C21" i="28"/>
  <c r="C22" i="28" s="1"/>
  <c r="C31" i="28"/>
  <c r="C37" i="28" l="1"/>
  <c r="C38" i="28" s="1"/>
  <c r="C39" i="28"/>
  <c r="C40" i="28" s="1"/>
  <c r="D39" i="28"/>
  <c r="B39" i="28"/>
</calcChain>
</file>

<file path=xl/sharedStrings.xml><?xml version="1.0" encoding="utf-8"?>
<sst xmlns="http://schemas.openxmlformats.org/spreadsheetml/2006/main" count="52" uniqueCount="36">
  <si>
    <t>Costa Rica</t>
  </si>
  <si>
    <t>Colombia</t>
  </si>
  <si>
    <t>Ecuador</t>
  </si>
  <si>
    <t>FOB</t>
  </si>
  <si>
    <t>USD/caja</t>
  </si>
  <si>
    <t>Nicaragua</t>
  </si>
  <si>
    <t>Panama</t>
  </si>
  <si>
    <t>Peru</t>
  </si>
  <si>
    <t>kg</t>
  </si>
  <si>
    <t>Windward Islands</t>
  </si>
  <si>
    <t>Dominican Republic</t>
  </si>
  <si>
    <t>Type of banana</t>
  </si>
  <si>
    <t>conventional Fairtrade banana</t>
  </si>
  <si>
    <t>organic Fairtrade banana</t>
  </si>
  <si>
    <t>Standard carton box</t>
  </si>
  <si>
    <t>Fairtrade Minimum Price</t>
  </si>
  <si>
    <t>IFCO box</t>
  </si>
  <si>
    <t>• Banana volume per IFCO box (for which the Fairtrade Minimum Price will be prorated):</t>
  </si>
  <si>
    <t>Special carton box</t>
  </si>
  <si>
    <t>• Banana volume per special carton box (for which the Fairtrade Minimum Price will be prorated):</t>
  </si>
  <si>
    <t>FOB FMP conv 2019</t>
  </si>
  <si>
    <t>FOB FMP org 2019</t>
  </si>
  <si>
    <t>Pro rata</t>
  </si>
  <si>
    <t>without including</t>
  </si>
  <si>
    <t>EXW FMP conv 2019</t>
  </si>
  <si>
    <t>EXW FMP org 2019</t>
  </si>
  <si>
    <t>Ex Works</t>
  </si>
  <si>
    <t>Price level</t>
  </si>
  <si>
    <t>COUNTRY</t>
  </si>
  <si>
    <t>PRICE</t>
  </si>
  <si>
    <t>PRICE UNIT</t>
  </si>
  <si>
    <t>VAT or w/o VAT</t>
  </si>
  <si>
    <t>Choose banana producer country:</t>
  </si>
  <si>
    <t>Choose type of Fairtrade banana:</t>
  </si>
  <si>
    <t>Choose price level:</t>
  </si>
  <si>
    <t xml:space="preserve">PRO-RATA OF FAIRTRADE MINIMUM PRICES
THAT ARE VALID FOR 2019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</si>
</sst>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b/>
      <sz val="11"/>
      <name val="Calibri"/>
      <family val="2"/>
      <scheme val="minor"/>
    </font>
    <font>
      <b/>
      <sz val="14"/>
      <color rgb="FFFF0000"/>
      <name val="Calibri"/>
      <family val="2"/>
      <scheme val="minor"/>
    </font>
    <font>
      <b/>
      <sz val="14"/>
      <color rgb="FF0088EE"/>
      <name val="Calibri"/>
      <family val="2"/>
      <scheme val="minor"/>
    </font>
    <font>
      <b/>
      <sz val="12"/>
      <color rgb="FF0088EE"/>
      <name val="Calibri"/>
      <family val="2"/>
      <scheme val="minor"/>
    </font>
    <font>
      <b/>
      <sz val="20"/>
      <color rgb="FFFF0000"/>
      <name val="Calibri"/>
      <family val="2"/>
      <scheme val="minor"/>
    </font>
    <font>
      <sz val="12"/>
      <color theme="1"/>
      <name val="Calibri"/>
      <family val="2"/>
    </font>
    <font>
      <sz val="11"/>
      <color rgb="FF1F497D"/>
      <name val="Calibri"/>
      <family val="2"/>
    </font>
    <font>
      <b/>
      <sz val="20"/>
      <color theme="1"/>
      <name val="Calibri"/>
      <family val="2"/>
      <scheme val="minor"/>
    </font>
    <font>
      <b/>
      <sz val="12"/>
      <color theme="0"/>
      <name val="Calibri"/>
      <family val="2"/>
      <scheme val="minor"/>
    </font>
    <font>
      <b/>
      <sz val="14"/>
      <color theme="7"/>
      <name val="Calibri"/>
      <family val="2"/>
      <scheme val="minor"/>
    </font>
    <font>
      <b/>
      <sz val="20"/>
      <color theme="0"/>
      <name val="Calibri Light"/>
      <family val="2"/>
      <scheme val="maj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249977111117893"/>
        <bgColor indexed="64"/>
      </patternFill>
    </fill>
  </fills>
  <borders count="26">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thin">
        <color auto="1"/>
      </right>
      <top style="thin">
        <color auto="1"/>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bottom/>
      <diagonal/>
    </border>
    <border>
      <left style="medium">
        <color auto="1"/>
      </left>
      <right style="thin">
        <color auto="1"/>
      </right>
      <top/>
      <bottom style="thin">
        <color auto="1"/>
      </bottom>
      <diagonal/>
    </border>
    <border>
      <left style="medium">
        <color auto="1"/>
      </left>
      <right style="thin">
        <color auto="1"/>
      </right>
      <top/>
      <bottom style="medium">
        <color indexed="64"/>
      </bottom>
      <diagonal/>
    </border>
    <border>
      <left style="medium">
        <color auto="1"/>
      </left>
      <right style="thin">
        <color auto="1"/>
      </right>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
      <left/>
      <right/>
      <top/>
      <bottom style="medium">
        <color auto="1"/>
      </bottom>
      <diagonal/>
    </border>
    <border>
      <left style="medium">
        <color indexed="64"/>
      </left>
      <right/>
      <top/>
      <bottom style="thin">
        <color indexed="64"/>
      </bottom>
      <diagonal/>
    </border>
    <border>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s>
  <cellStyleXfs count="2">
    <xf numFmtId="0" fontId="0" fillId="0" borderId="0"/>
    <xf numFmtId="0" fontId="3" fillId="0" borderId="0"/>
  </cellStyleXfs>
  <cellXfs count="67">
    <xf numFmtId="0" fontId="0" fillId="0" borderId="0" xfId="0"/>
    <xf numFmtId="0" fontId="0" fillId="2" borderId="0" xfId="0" applyFill="1" applyProtection="1">
      <protection hidden="1"/>
    </xf>
    <xf numFmtId="0" fontId="1" fillId="2" borderId="0" xfId="0" applyFont="1" applyFill="1" applyAlignment="1" applyProtection="1">
      <alignment horizontal="center"/>
      <protection hidden="1"/>
    </xf>
    <xf numFmtId="0" fontId="1" fillId="2" borderId="0" xfId="0" applyFont="1" applyFill="1" applyProtection="1">
      <protection hidden="1"/>
    </xf>
    <xf numFmtId="0" fontId="0" fillId="2" borderId="1" xfId="0" applyFill="1" applyBorder="1" applyProtection="1">
      <protection hidden="1"/>
    </xf>
    <xf numFmtId="4" fontId="0" fillId="2" borderId="1" xfId="0" applyNumberFormat="1" applyFill="1" applyBorder="1" applyProtection="1">
      <protection hidden="1"/>
    </xf>
    <xf numFmtId="2" fontId="0" fillId="2" borderId="0" xfId="0" applyNumberFormat="1" applyFill="1" applyBorder="1" applyProtection="1">
      <protection hidden="1"/>
    </xf>
    <xf numFmtId="0" fontId="0" fillId="2" borderId="0" xfId="0" applyFill="1" applyBorder="1" applyProtection="1">
      <protection hidden="1"/>
    </xf>
    <xf numFmtId="0" fontId="8" fillId="2" borderId="0" xfId="0" applyFont="1" applyFill="1" applyProtection="1">
      <protection hidden="1"/>
    </xf>
    <xf numFmtId="4" fontId="0" fillId="2" borderId="0" xfId="0" applyNumberFormat="1" applyFill="1" applyProtection="1">
      <protection hidden="1"/>
    </xf>
    <xf numFmtId="2" fontId="6" fillId="2" borderId="1" xfId="0" applyNumberFormat="1" applyFont="1" applyFill="1" applyBorder="1" applyAlignment="1" applyProtection="1">
      <alignment vertical="top"/>
      <protection locked="0" hidden="1"/>
    </xf>
    <xf numFmtId="0" fontId="9" fillId="2" borderId="0" xfId="0" applyFont="1" applyFill="1" applyAlignment="1" applyProtection="1">
      <alignment vertical="center"/>
      <protection hidden="1"/>
    </xf>
    <xf numFmtId="2" fontId="6" fillId="2" borderId="9" xfId="0" applyNumberFormat="1" applyFont="1" applyFill="1" applyBorder="1" applyAlignment="1" applyProtection="1">
      <alignment vertical="top"/>
      <protection locked="0" hidden="1"/>
    </xf>
    <xf numFmtId="2" fontId="0" fillId="2" borderId="0" xfId="0" applyNumberFormat="1" applyFill="1" applyProtection="1">
      <protection hidden="1"/>
    </xf>
    <xf numFmtId="0" fontId="8" fillId="2" borderId="0" xfId="0" applyFont="1" applyFill="1" applyBorder="1" applyProtection="1">
      <protection hidden="1"/>
    </xf>
    <xf numFmtId="0" fontId="10" fillId="0" borderId="0" xfId="0" applyFont="1" applyBorder="1" applyAlignment="1" applyProtection="1">
      <alignment vertical="center" wrapText="1"/>
      <protection hidden="1"/>
    </xf>
    <xf numFmtId="0" fontId="0" fillId="2" borderId="0" xfId="0" applyFill="1" applyAlignment="1" applyProtection="1">
      <alignment wrapText="1"/>
      <protection hidden="1"/>
    </xf>
    <xf numFmtId="0" fontId="1" fillId="3" borderId="11" xfId="0" applyFont="1" applyFill="1" applyBorder="1" applyAlignment="1" applyProtection="1">
      <alignment vertical="top" wrapText="1"/>
      <protection hidden="1"/>
    </xf>
    <xf numFmtId="0" fontId="4" fillId="3" borderId="10" xfId="0" applyFont="1" applyFill="1" applyBorder="1" applyAlignment="1" applyProtection="1">
      <alignment horizontal="center" vertical="top" wrapText="1"/>
      <protection hidden="1"/>
    </xf>
    <xf numFmtId="0" fontId="4" fillId="3" borderId="5" xfId="0" applyFont="1" applyFill="1" applyBorder="1" applyAlignment="1" applyProtection="1">
      <alignment horizontal="center" vertical="top"/>
      <protection hidden="1"/>
    </xf>
    <xf numFmtId="0" fontId="2" fillId="3" borderId="11" xfId="0" quotePrefix="1" applyFont="1" applyFill="1" applyBorder="1" applyAlignment="1" applyProtection="1">
      <alignment horizontal="left" vertical="top" wrapText="1" indent="2"/>
      <protection hidden="1"/>
    </xf>
    <xf numFmtId="2" fontId="2" fillId="3" borderId="10" xfId="0" applyNumberFormat="1" applyFont="1" applyFill="1" applyBorder="1" applyAlignment="1" applyProtection="1">
      <alignment vertical="top"/>
      <protection hidden="1"/>
    </xf>
    <xf numFmtId="0" fontId="2" fillId="3" borderId="5" xfId="0" applyFont="1" applyFill="1" applyBorder="1" applyAlignment="1" applyProtection="1">
      <alignment vertical="top"/>
      <protection hidden="1"/>
    </xf>
    <xf numFmtId="0" fontId="2" fillId="3" borderId="20" xfId="0" quotePrefix="1" applyFont="1" applyFill="1" applyBorder="1" applyAlignment="1" applyProtection="1">
      <alignment horizontal="left" vertical="top" wrapText="1" indent="2"/>
      <protection hidden="1"/>
    </xf>
    <xf numFmtId="2" fontId="2" fillId="3" borderId="16" xfId="0" applyNumberFormat="1" applyFont="1" applyFill="1" applyBorder="1" applyAlignment="1" applyProtection="1">
      <alignment vertical="top"/>
      <protection hidden="1"/>
    </xf>
    <xf numFmtId="0" fontId="2" fillId="3" borderId="15" xfId="0" applyFont="1" applyFill="1" applyBorder="1" applyAlignment="1" applyProtection="1">
      <alignment vertical="top"/>
      <protection hidden="1"/>
    </xf>
    <xf numFmtId="0" fontId="4" fillId="3" borderId="11" xfId="0" quotePrefix="1" applyFont="1" applyFill="1" applyBorder="1" applyAlignment="1" applyProtection="1">
      <alignment vertical="top" wrapText="1"/>
      <protection hidden="1"/>
    </xf>
    <xf numFmtId="2" fontId="2" fillId="3" borderId="10" xfId="0" applyNumberFormat="1" applyFont="1" applyFill="1" applyBorder="1" applyAlignment="1" applyProtection="1">
      <alignment horizontal="right" vertical="top" wrapText="1"/>
      <protection hidden="1"/>
    </xf>
    <xf numFmtId="2" fontId="2" fillId="3" borderId="16" xfId="0" quotePrefix="1" applyNumberFormat="1" applyFont="1" applyFill="1" applyBorder="1" applyAlignment="1" applyProtection="1">
      <alignment horizontal="right" vertical="top" wrapText="1"/>
      <protection hidden="1"/>
    </xf>
    <xf numFmtId="0" fontId="4" fillId="3" borderId="11" xfId="0" quotePrefix="1" applyFont="1" applyFill="1" applyBorder="1" applyAlignment="1" applyProtection="1">
      <alignment horizontal="left" vertical="top" wrapText="1"/>
      <protection hidden="1"/>
    </xf>
    <xf numFmtId="0" fontId="2" fillId="3" borderId="14" xfId="0" quotePrefix="1" applyFont="1" applyFill="1" applyBorder="1" applyAlignment="1" applyProtection="1">
      <alignment horizontal="left" vertical="top" wrapText="1" indent="2"/>
      <protection hidden="1"/>
    </xf>
    <xf numFmtId="0" fontId="2" fillId="3" borderId="12" xfId="0" quotePrefix="1" applyFont="1" applyFill="1" applyBorder="1" applyAlignment="1" applyProtection="1">
      <alignment horizontal="left" vertical="top" wrapText="1" indent="2"/>
      <protection hidden="1"/>
    </xf>
    <xf numFmtId="0" fontId="4" fillId="3" borderId="14" xfId="0" quotePrefix="1" applyFont="1" applyFill="1" applyBorder="1" applyAlignment="1" applyProtection="1">
      <alignment horizontal="left" vertical="top" wrapText="1"/>
      <protection hidden="1"/>
    </xf>
    <xf numFmtId="0" fontId="4" fillId="3" borderId="5" xfId="0" applyFont="1" applyFill="1" applyBorder="1" applyAlignment="1" applyProtection="1">
      <protection hidden="1"/>
    </xf>
    <xf numFmtId="0" fontId="2" fillId="3" borderId="7" xfId="0" applyFont="1" applyFill="1" applyBorder="1" applyAlignment="1" applyProtection="1">
      <alignment vertical="top"/>
      <protection hidden="1"/>
    </xf>
    <xf numFmtId="2" fontId="6" fillId="3" borderId="10" xfId="0" applyNumberFormat="1" applyFont="1" applyFill="1" applyBorder="1" applyAlignment="1" applyProtection="1">
      <alignment vertical="top"/>
      <protection hidden="1"/>
    </xf>
    <xf numFmtId="2" fontId="4" fillId="3" borderId="10" xfId="0" applyNumberFormat="1" applyFont="1" applyFill="1" applyBorder="1" applyAlignment="1" applyProtection="1">
      <protection hidden="1"/>
    </xf>
    <xf numFmtId="0" fontId="0" fillId="3" borderId="10" xfId="0" quotePrefix="1" applyFill="1" applyBorder="1" applyAlignment="1" applyProtection="1">
      <alignment vertical="top"/>
      <protection hidden="1"/>
    </xf>
    <xf numFmtId="0" fontId="0" fillId="3" borderId="17" xfId="0" quotePrefix="1" applyFill="1" applyBorder="1" applyAlignment="1" applyProtection="1">
      <alignment vertical="top"/>
      <protection hidden="1"/>
    </xf>
    <xf numFmtId="0" fontId="4" fillId="3" borderId="6" xfId="0" quotePrefix="1" applyFont="1" applyFill="1" applyBorder="1" applyAlignment="1" applyProtection="1">
      <alignment horizontal="left" vertical="top" wrapText="1"/>
      <protection hidden="1"/>
    </xf>
    <xf numFmtId="2" fontId="6" fillId="3" borderId="8" xfId="0" applyNumberFormat="1" applyFont="1" applyFill="1" applyBorder="1" applyAlignment="1" applyProtection="1">
      <alignment vertical="top"/>
      <protection hidden="1"/>
    </xf>
    <xf numFmtId="0" fontId="2" fillId="3" borderId="21" xfId="0" applyFont="1" applyFill="1" applyBorder="1" applyAlignment="1" applyProtection="1">
      <alignment vertical="top"/>
      <protection hidden="1"/>
    </xf>
    <xf numFmtId="2" fontId="2" fillId="3" borderId="16" xfId="0" applyNumberFormat="1" applyFont="1" applyFill="1" applyBorder="1" applyAlignment="1" applyProtection="1">
      <alignment horizontal="right" vertical="top" wrapText="1"/>
      <protection hidden="1"/>
    </xf>
    <xf numFmtId="0" fontId="2" fillId="3" borderId="18" xfId="0" applyFont="1" applyFill="1" applyBorder="1" applyAlignment="1" applyProtection="1">
      <alignment vertical="top" wrapText="1"/>
      <protection hidden="1"/>
    </xf>
    <xf numFmtId="0" fontId="4" fillId="3" borderId="5" xfId="0" applyFont="1" applyFill="1" applyBorder="1" applyAlignment="1" applyProtection="1">
      <alignment vertical="top"/>
      <protection hidden="1"/>
    </xf>
    <xf numFmtId="2" fontId="4" fillId="3" borderId="10" xfId="0" applyNumberFormat="1" applyFont="1" applyFill="1" applyBorder="1" applyAlignment="1" applyProtection="1">
      <alignment vertical="top"/>
      <protection hidden="1"/>
    </xf>
    <xf numFmtId="0" fontId="5" fillId="4" borderId="19" xfId="0" applyFont="1" applyFill="1" applyBorder="1" applyAlignment="1" applyProtection="1">
      <alignment horizontal="center" vertical="top" wrapText="1"/>
      <protection hidden="1"/>
    </xf>
    <xf numFmtId="0" fontId="11" fillId="4" borderId="0" xfId="0" applyFont="1" applyFill="1" applyBorder="1" applyAlignment="1" applyProtection="1">
      <alignment horizontal="center" vertical="center" wrapText="1"/>
      <protection hidden="1"/>
    </xf>
    <xf numFmtId="0" fontId="12" fillId="4" borderId="0" xfId="0" applyFont="1" applyFill="1" applyBorder="1" applyAlignment="1" applyProtection="1">
      <alignment horizontal="right"/>
      <protection hidden="1"/>
    </xf>
    <xf numFmtId="0" fontId="0" fillId="4" borderId="22" xfId="0" applyFill="1" applyBorder="1" applyProtection="1">
      <protection hidden="1"/>
    </xf>
    <xf numFmtId="0" fontId="0" fillId="4" borderId="24" xfId="0" applyFill="1" applyBorder="1" applyProtection="1">
      <protection hidden="1"/>
    </xf>
    <xf numFmtId="0" fontId="0" fillId="4" borderId="11" xfId="0" applyFill="1" applyBorder="1" applyProtection="1">
      <protection hidden="1"/>
    </xf>
    <xf numFmtId="0" fontId="0" fillId="4" borderId="5" xfId="0" applyFill="1" applyBorder="1" applyProtection="1">
      <protection hidden="1"/>
    </xf>
    <xf numFmtId="0" fontId="0" fillId="4" borderId="25" xfId="0" applyFill="1" applyBorder="1" applyProtection="1">
      <protection hidden="1"/>
    </xf>
    <xf numFmtId="0" fontId="0" fillId="4" borderId="19" xfId="0" applyFill="1" applyBorder="1" applyAlignment="1" applyProtection="1">
      <alignment wrapText="1"/>
      <protection hidden="1"/>
    </xf>
    <xf numFmtId="0" fontId="0" fillId="4" borderId="19" xfId="0" applyFill="1" applyBorder="1" applyProtection="1">
      <protection hidden="1"/>
    </xf>
    <xf numFmtId="0" fontId="0" fillId="4" borderId="7" xfId="0" applyFill="1" applyBorder="1" applyProtection="1">
      <protection hidden="1"/>
    </xf>
    <xf numFmtId="0" fontId="0" fillId="4" borderId="0" xfId="0" applyFill="1" applyBorder="1" applyAlignment="1" applyProtection="1">
      <alignment vertical="top" wrapText="1"/>
      <protection hidden="1"/>
    </xf>
    <xf numFmtId="0" fontId="0" fillId="4" borderId="0" xfId="0" applyFill="1" applyBorder="1" applyAlignment="1" applyProtection="1">
      <alignment vertical="top"/>
      <protection hidden="1"/>
    </xf>
    <xf numFmtId="0" fontId="12" fillId="4" borderId="2" xfId="0" applyFont="1" applyFill="1" applyBorder="1" applyAlignment="1" applyProtection="1">
      <alignment vertical="top" wrapText="1"/>
      <protection hidden="1"/>
    </xf>
    <xf numFmtId="0" fontId="14" fillId="4" borderId="23" xfId="0" applyFont="1" applyFill="1" applyBorder="1" applyAlignment="1" applyProtection="1">
      <alignment horizontal="center" vertical="center" wrapText="1"/>
      <protection hidden="1"/>
    </xf>
    <xf numFmtId="0" fontId="2" fillId="3" borderId="14" xfId="0" applyFont="1" applyFill="1" applyBorder="1" applyAlignment="1" applyProtection="1">
      <alignment horizontal="left" vertical="center" wrapText="1" indent="2"/>
      <protection hidden="1"/>
    </xf>
    <xf numFmtId="0" fontId="2" fillId="3" borderId="13" xfId="0" applyFont="1" applyFill="1" applyBorder="1" applyAlignment="1" applyProtection="1">
      <alignment horizontal="left" vertical="center" wrapText="1" indent="2"/>
      <protection hidden="1"/>
    </xf>
    <xf numFmtId="0" fontId="7" fillId="2" borderId="1" xfId="0" applyFont="1" applyFill="1" applyBorder="1" applyAlignment="1" applyProtection="1">
      <alignment horizontal="left"/>
      <protection locked="0" hidden="1"/>
    </xf>
    <xf numFmtId="0" fontId="4" fillId="4" borderId="3" xfId="0" applyFont="1" applyFill="1" applyBorder="1" applyAlignment="1" applyProtection="1">
      <alignment horizontal="center" vertical="top" wrapText="1"/>
      <protection hidden="1"/>
    </xf>
    <xf numFmtId="0" fontId="4" fillId="4" borderId="4" xfId="0" applyFont="1" applyFill="1" applyBorder="1" applyAlignment="1" applyProtection="1">
      <alignment horizontal="center" vertical="top"/>
      <protection hidden="1"/>
    </xf>
    <xf numFmtId="0" fontId="13" fillId="4" borderId="0" xfId="0" applyFont="1" applyFill="1" applyBorder="1" applyAlignment="1" applyProtection="1">
      <alignment horizontal="center" vertical="top" wrapText="1"/>
      <protection hidden="1"/>
    </xf>
  </cellXfs>
  <cellStyles count="2">
    <cellStyle name="Normal" xfId="0" builtinId="0"/>
    <cellStyle name="Normal 2" xfId="1"/>
  </cellStyles>
  <dxfs count="0"/>
  <tableStyles count="0" defaultTableStyle="TableStyleMedium2" defaultPivotStyle="PivotStyleLight16"/>
  <colors>
    <mruColors>
      <color rgb="FF0088EE"/>
      <color rgb="FFF6F9FC"/>
      <color rgb="FF71C2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99037</xdr:rowOff>
    </xdr:from>
    <xdr:to>
      <xdr:col>1</xdr:col>
      <xdr:colOff>492162</xdr:colOff>
      <xdr:row>1</xdr:row>
      <xdr:rowOff>47625</xdr:rowOff>
    </xdr:to>
    <xdr:pic>
      <xdr:nvPicPr>
        <xdr:cNvPr id="2" name="Picture 1" descr="X:\Brand\_Brand_Management\Brand_Strategy\_FINALS\_Collateral\Letterhead_NEW_201403\FBM_INT_VERT_RGB_POS.emf"/>
        <xdr:cNvPicPr>
          <a:picLocks noChangeAspect="1"/>
        </xdr:cNvPicPr>
      </xdr:nvPicPr>
      <xdr:blipFill>
        <a:blip xmlns:r="http://schemas.openxmlformats.org/officeDocument/2006/relationships" r:embed="rId1" cstate="print"/>
        <a:srcRect/>
        <a:stretch>
          <a:fillRect/>
        </a:stretch>
      </xdr:blipFill>
      <xdr:spPr bwMode="auto">
        <a:xfrm>
          <a:off x="228600" y="99037"/>
          <a:ext cx="501687" cy="577238"/>
        </a:xfrm>
        <a:prstGeom prst="rect">
          <a:avLst/>
        </a:prstGeom>
        <a:noFill/>
        <a:ln w="9525">
          <a:noFill/>
          <a:miter lim="800000"/>
          <a:headEnd/>
          <a:tailEnd/>
        </a:ln>
      </xdr:spPr>
    </xdr:pic>
    <xdr:clientData/>
  </xdr:twoCellAnchor>
  <xdr:twoCellAnchor>
    <xdr:from>
      <xdr:col>0</xdr:col>
      <xdr:colOff>219075</xdr:colOff>
      <xdr:row>2</xdr:row>
      <xdr:rowOff>0</xdr:rowOff>
    </xdr:from>
    <xdr:to>
      <xdr:col>4</xdr:col>
      <xdr:colOff>9525</xdr:colOff>
      <xdr:row>3</xdr:row>
      <xdr:rowOff>28575</xdr:rowOff>
    </xdr:to>
    <xdr:sp macro="" textlink="">
      <xdr:nvSpPr>
        <xdr:cNvPr id="3" name="Rectangle 2"/>
        <xdr:cNvSpPr/>
      </xdr:nvSpPr>
      <xdr:spPr>
        <a:xfrm>
          <a:off x="219075" y="742950"/>
          <a:ext cx="7096125" cy="1847850"/>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tx1"/>
              </a:solidFill>
              <a:latin typeface="+mn-lt"/>
              <a:ea typeface="+mn-ea"/>
              <a:cs typeface="+mn-cs"/>
            </a:rPr>
            <a:t>This tool is for pro-rating the country specific Fairtrade Minimum</a:t>
          </a:r>
          <a:r>
            <a:rPr lang="en-US" sz="1200" b="1" baseline="0">
              <a:solidFill>
                <a:schemeClr val="tx1"/>
              </a:solidFill>
              <a:latin typeface="+mn-lt"/>
              <a:ea typeface="+mn-ea"/>
              <a:cs typeface="+mn-cs"/>
            </a:rPr>
            <a:t> Prices for banana that are valid for 2019. </a:t>
          </a:r>
          <a:r>
            <a:rPr lang="de-DE" sz="1200" b="1">
              <a:solidFill>
                <a:schemeClr val="tx1"/>
              </a:solidFill>
              <a:latin typeface="+mn-lt"/>
              <a:ea typeface="+mn-ea"/>
              <a:cs typeface="+mn-cs"/>
            </a:rPr>
            <a:t>The </a:t>
          </a:r>
          <a:r>
            <a:rPr lang="de-DE" sz="1200" b="1">
              <a:solidFill>
                <a:schemeClr val="tx1"/>
              </a:solidFill>
            </a:rPr>
            <a:t>tool provides</a:t>
          </a:r>
          <a:r>
            <a:rPr lang="de-DE" sz="1200" b="1" baseline="0">
              <a:solidFill>
                <a:schemeClr val="tx1"/>
              </a:solidFill>
            </a:rPr>
            <a:t> 2 examples. The first example pro-rates Fairtrade Minimum Prices to an special carton box of 17 kg of Fairtrade banana (see cell B10) and the second one to an IFCO box of 17 kg of banana (see cell B26). </a:t>
          </a:r>
        </a:p>
        <a:p>
          <a:pPr algn="l"/>
          <a:r>
            <a:rPr lang="de-DE" sz="1200" b="1" baseline="0">
              <a:solidFill>
                <a:schemeClr val="tx1"/>
              </a:solidFill>
            </a:rPr>
            <a:t>NOTICE that the pro-rata process is only based on the variation of: a) the weight of fruit per box and b) the price of the type of packing box. Additional costs, or price variations of existing inputs, might be also involved; for pro-rating them the Fairtrade Standards for Fresh Fruits must always apply.</a:t>
          </a:r>
        </a:p>
        <a:p>
          <a:pPr algn="l"/>
          <a:endParaRPr lang="de-DE" sz="1200" b="1">
            <a:solidFill>
              <a:schemeClr val="tx1"/>
            </a:solidFill>
          </a:endParaRPr>
        </a:p>
        <a:p>
          <a:pPr algn="l"/>
          <a:r>
            <a:rPr lang="de-DE" sz="1200" b="1">
              <a:solidFill>
                <a:schemeClr val="tx1"/>
              </a:solidFill>
            </a:rPr>
            <a:t>PLEASE COMPLETE</a:t>
          </a:r>
          <a:r>
            <a:rPr lang="de-DE" sz="1200" b="1" baseline="0">
              <a:solidFill>
                <a:schemeClr val="tx1"/>
              </a:solidFill>
            </a:rPr>
            <a:t> EMPTY CELLS WITH THE INFORMATION OF THE PACKING BOX YOU WANT TO RUN THE PRO-RATA</a:t>
          </a:r>
          <a:endParaRPr lang="de-DE" sz="1200" b="1">
            <a:solidFill>
              <a:schemeClr val="tx1"/>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abSelected="1" zoomScaleNormal="100" workbookViewId="0"/>
  </sheetViews>
  <sheetFormatPr defaultRowHeight="15" x14ac:dyDescent="0.25"/>
  <cols>
    <col min="1" max="1" width="3.5703125" style="1" customWidth="1"/>
    <col min="2" max="2" width="67.85546875" style="16" customWidth="1"/>
    <col min="3" max="3" width="16.5703125" style="1" customWidth="1"/>
    <col min="4" max="4" width="29.140625" style="1" customWidth="1"/>
    <col min="5" max="5" width="3.7109375" style="1" customWidth="1"/>
    <col min="6" max="10" width="13.7109375" style="1" customWidth="1"/>
    <col min="11" max="11" width="20.5703125" style="1" hidden="1" customWidth="1"/>
    <col min="12" max="12" width="9.140625" style="1" hidden="1" customWidth="1"/>
    <col min="13" max="13" width="13.85546875" style="1" hidden="1" customWidth="1"/>
    <col min="14" max="14" width="16.42578125" style="1" hidden="1" customWidth="1"/>
    <col min="15" max="16" width="20" style="1" hidden="1" customWidth="1"/>
    <col min="17" max="18" width="9.140625" style="1" hidden="1" customWidth="1"/>
    <col min="19" max="20" width="5.5703125" style="1" hidden="1" customWidth="1"/>
    <col min="21" max="21" width="10.28515625" style="1" hidden="1" customWidth="1"/>
    <col min="22" max="22" width="18.85546875" style="1" hidden="1" customWidth="1"/>
    <col min="23" max="23" width="17.5703125" style="1" hidden="1" customWidth="1"/>
    <col min="24" max="16384" width="9.140625" style="1"/>
  </cols>
  <sheetData>
    <row r="1" spans="1:23" ht="49.5" customHeight="1" x14ac:dyDescent="0.25">
      <c r="A1" s="49"/>
      <c r="B1" s="60" t="s">
        <v>35</v>
      </c>
      <c r="C1" s="60"/>
      <c r="D1" s="60"/>
      <c r="E1" s="50"/>
      <c r="K1" s="2" t="s">
        <v>28</v>
      </c>
      <c r="L1" s="2" t="s">
        <v>29</v>
      </c>
      <c r="M1" s="2" t="s">
        <v>30</v>
      </c>
      <c r="N1" s="2" t="s">
        <v>31</v>
      </c>
      <c r="O1" s="2" t="s">
        <v>20</v>
      </c>
      <c r="P1" s="2" t="s">
        <v>21</v>
      </c>
      <c r="Q1" s="3" t="s">
        <v>11</v>
      </c>
      <c r="U1" s="2" t="s">
        <v>27</v>
      </c>
      <c r="V1" s="2" t="s">
        <v>24</v>
      </c>
      <c r="W1" s="2" t="s">
        <v>25</v>
      </c>
    </row>
    <row r="2" spans="1:23" ht="9" customHeight="1" x14ac:dyDescent="0.25">
      <c r="A2" s="51"/>
      <c r="B2" s="47"/>
      <c r="C2" s="47"/>
      <c r="D2" s="47"/>
      <c r="E2" s="52"/>
      <c r="K2" s="4" t="s">
        <v>6</v>
      </c>
      <c r="L2" s="4">
        <v>1.62</v>
      </c>
      <c r="M2" s="4" t="s">
        <v>4</v>
      </c>
      <c r="N2" s="4" t="s">
        <v>23</v>
      </c>
      <c r="O2" s="5">
        <v>9.8999999999999986</v>
      </c>
      <c r="P2" s="4"/>
      <c r="Q2" s="1" t="s">
        <v>12</v>
      </c>
      <c r="T2" s="6"/>
      <c r="U2" s="1" t="s">
        <v>3</v>
      </c>
      <c r="V2" s="5">
        <v>6.85</v>
      </c>
      <c r="W2" s="4"/>
    </row>
    <row r="3" spans="1:23" ht="125.25" customHeight="1" x14ac:dyDescent="0.25">
      <c r="A3" s="51"/>
      <c r="B3" s="47"/>
      <c r="C3" s="47"/>
      <c r="D3" s="47"/>
      <c r="E3" s="52"/>
      <c r="K3" s="4" t="s">
        <v>7</v>
      </c>
      <c r="L3" s="4">
        <v>1.68</v>
      </c>
      <c r="M3" s="4" t="s">
        <v>4</v>
      </c>
      <c r="N3" s="4" t="s">
        <v>23</v>
      </c>
      <c r="O3" s="4"/>
      <c r="P3" s="5">
        <v>12.3</v>
      </c>
      <c r="Q3" s="1" t="s">
        <v>13</v>
      </c>
      <c r="T3" s="7"/>
      <c r="U3" s="1" t="s">
        <v>26</v>
      </c>
      <c r="V3" s="4"/>
      <c r="W3" s="5">
        <v>8.9</v>
      </c>
    </row>
    <row r="4" spans="1:23" ht="9" customHeight="1" x14ac:dyDescent="0.25">
      <c r="A4" s="51"/>
      <c r="B4" s="47"/>
      <c r="C4" s="47"/>
      <c r="D4" s="47"/>
      <c r="E4" s="52"/>
      <c r="K4" s="4" t="s">
        <v>1</v>
      </c>
      <c r="L4" s="4">
        <f>ROUND(1.42/1.19,2)</f>
        <v>1.19</v>
      </c>
      <c r="M4" s="4" t="s">
        <v>4</v>
      </c>
      <c r="N4" s="4" t="s">
        <v>23</v>
      </c>
      <c r="O4" s="5">
        <v>10</v>
      </c>
      <c r="P4" s="4"/>
      <c r="T4" s="7"/>
      <c r="V4" s="5">
        <v>7.35</v>
      </c>
      <c r="W4" s="4"/>
    </row>
    <row r="5" spans="1:23" ht="15.75" x14ac:dyDescent="0.25">
      <c r="A5" s="51"/>
      <c r="B5" s="48" t="s">
        <v>32</v>
      </c>
      <c r="C5" s="63"/>
      <c r="D5" s="63"/>
      <c r="E5" s="52"/>
      <c r="K5" s="4" t="s">
        <v>2</v>
      </c>
      <c r="L5" s="4">
        <v>1.44</v>
      </c>
      <c r="M5" s="4" t="s">
        <v>4</v>
      </c>
      <c r="N5" s="4" t="s">
        <v>23</v>
      </c>
      <c r="O5" s="5">
        <v>9.1999999999999993</v>
      </c>
      <c r="P5" s="5">
        <v>12.1</v>
      </c>
      <c r="T5" s="7"/>
      <c r="V5" s="5">
        <v>6.5</v>
      </c>
      <c r="W5" s="5">
        <v>9.25</v>
      </c>
    </row>
    <row r="6" spans="1:23" ht="15.75" x14ac:dyDescent="0.25">
      <c r="A6" s="51"/>
      <c r="B6" s="48" t="s">
        <v>33</v>
      </c>
      <c r="C6" s="63"/>
      <c r="D6" s="63"/>
      <c r="E6" s="52"/>
      <c r="K6" s="4" t="s">
        <v>9</v>
      </c>
      <c r="L6" s="4">
        <v>1.74</v>
      </c>
      <c r="M6" s="4" t="s">
        <v>4</v>
      </c>
      <c r="N6" s="4" t="s">
        <v>23</v>
      </c>
      <c r="O6" s="5">
        <v>12.2</v>
      </c>
      <c r="P6" s="4"/>
      <c r="T6" s="7"/>
      <c r="V6" s="5">
        <v>8.9499999999999993</v>
      </c>
      <c r="W6" s="4"/>
    </row>
    <row r="7" spans="1:23" ht="15.75" x14ac:dyDescent="0.25">
      <c r="A7" s="51"/>
      <c r="B7" s="48" t="s">
        <v>34</v>
      </c>
      <c r="C7" s="63"/>
      <c r="D7" s="63"/>
      <c r="E7" s="52"/>
      <c r="K7" s="4" t="s">
        <v>0</v>
      </c>
      <c r="L7" s="4">
        <v>1.45</v>
      </c>
      <c r="M7" s="4" t="s">
        <v>4</v>
      </c>
      <c r="N7" s="4" t="s">
        <v>23</v>
      </c>
      <c r="O7" s="5">
        <v>9.6999999999999993</v>
      </c>
      <c r="P7" s="4"/>
      <c r="T7" s="7"/>
      <c r="V7" s="5">
        <v>6.55</v>
      </c>
      <c r="W7" s="4"/>
    </row>
    <row r="8" spans="1:23" ht="57.75" customHeight="1" x14ac:dyDescent="0.25">
      <c r="A8" s="51"/>
      <c r="B8" s="66" t="str">
        <f>IF($P$11=FALSE,"",
IF($O$11=0,"Pro-rata cannot run. This table only estimates the pro-rated price value for banana types with country specific Fairtrade Minimum Prices. There is no country specific Fairtrade Minimum Price for "&amp;M11&amp;" banana from "&amp;$C$5,""))</f>
        <v/>
      </c>
      <c r="C8" s="66"/>
      <c r="D8" s="66"/>
      <c r="E8" s="52"/>
      <c r="K8" s="4" t="s">
        <v>10</v>
      </c>
      <c r="L8" s="4">
        <v>1.85</v>
      </c>
      <c r="M8" s="4" t="s">
        <v>4</v>
      </c>
      <c r="N8" s="4" t="s">
        <v>23</v>
      </c>
      <c r="O8" s="5">
        <v>11</v>
      </c>
      <c r="P8" s="5">
        <v>13.600000000000001</v>
      </c>
      <c r="T8" s="7"/>
      <c r="V8" s="5">
        <v>7.2</v>
      </c>
      <c r="W8" s="5">
        <v>9.8000000000000007</v>
      </c>
    </row>
    <row r="9" spans="1:23" ht="9" customHeight="1" thickBot="1" x14ac:dyDescent="0.3">
      <c r="A9" s="51"/>
      <c r="B9" s="46"/>
      <c r="C9" s="46"/>
      <c r="D9" s="46"/>
      <c r="E9" s="52"/>
      <c r="K9" s="4" t="s">
        <v>5</v>
      </c>
      <c r="L9" s="4">
        <v>1.42</v>
      </c>
      <c r="M9" s="4" t="s">
        <v>4</v>
      </c>
      <c r="N9" s="4" t="s">
        <v>23</v>
      </c>
      <c r="O9" s="5">
        <v>9.3000000000000007</v>
      </c>
      <c r="P9" s="4"/>
      <c r="T9" s="7"/>
      <c r="V9" s="5">
        <v>6.75</v>
      </c>
      <c r="W9" s="4"/>
    </row>
    <row r="10" spans="1:23" ht="32.25" thickBot="1" x14ac:dyDescent="0.45">
      <c r="A10" s="51"/>
      <c r="B10" s="59" t="str">
        <f>"EXAMPLE 1:
 PRO-RATA TO SPECIAL CARTON BOX "&amp;IF(ISBLANK($C$18),"FOR BANANA","OF "&amp;$C$18&amp;"kg FOR BANANA")</f>
        <v>EXAMPLE 1:
 PRO-RATA TO SPECIAL CARTON BOX FOR BANANA</v>
      </c>
      <c r="C10" s="64"/>
      <c r="D10" s="65"/>
      <c r="E10" s="52"/>
      <c r="L10" s="8"/>
      <c r="N10" s="8"/>
      <c r="T10" s="8"/>
      <c r="V10" s="9"/>
    </row>
    <row r="11" spans="1:23" ht="15" customHeight="1" x14ac:dyDescent="0.25">
      <c r="A11" s="51"/>
      <c r="B11" s="17" t="s">
        <v>14</v>
      </c>
      <c r="C11" s="18"/>
      <c r="D11" s="19"/>
      <c r="E11" s="52"/>
      <c r="K11" s="1" t="str">
        <f>IF($P$11=FALSE,"",VLOOKUP($C$5,$K$2:$L$9,1,FALSE))</f>
        <v/>
      </c>
      <c r="L11" s="1" t="str">
        <f>IF($P$11=FALSE,"",VLOOKUP($C$5,$K$2:$L$9,2,FALSE))</f>
        <v/>
      </c>
      <c r="M11" s="1" t="str">
        <f>IF($C$6=$Q$2,"conventional","organic")</f>
        <v>organic</v>
      </c>
      <c r="O11" s="9" t="str">
        <f>IF($P$11=FALSE,"",IF($C$6=$Q$2,VLOOKUP($C$5,$K$2:$P$9,5,FALSE),
VLOOKUP($C$5,$K$2:$P$9,6,FALSE)))</f>
        <v/>
      </c>
      <c r="P11" s="1" t="b">
        <f>AND(ISBLANK(C5)=FALSE,ISBLANK(C6)=FALSE,ISBLANK(C7)=FALSE)</f>
        <v>0</v>
      </c>
      <c r="V11" s="9" t="str">
        <f>IF($P$11=FALSE,"",IF($C$6=$Q$2,VLOOKUP($C$5,$K$2:$W$9,12,FALSE),
VLOOKUP($C$5,$K$2:$W$9,13,FALSE)))</f>
        <v/>
      </c>
    </row>
    <row r="12" spans="1:23" ht="45.75" customHeight="1" x14ac:dyDescent="0.25">
      <c r="A12" s="51"/>
      <c r="B12" s="20" t="str">
        <f>IF(P11=FALSE,"",
"• Price of the standard carton box ("&amp;VLOOKUP($C$5,$K$2:$N$9,4,FALSE)&amp;" the value added tax), that was used for estimating the Fairtrade Minimum Price for Fairtrade banana from "&amp;$K$11&amp;":")</f>
        <v/>
      </c>
      <c r="C12" s="21" t="str">
        <f>L11</f>
        <v/>
      </c>
      <c r="D12" s="22" t="str">
        <f>IF(P11=FALSE,"",
"USD/box"&amp;$C$13&amp;"kg")</f>
        <v/>
      </c>
      <c r="E12" s="52"/>
    </row>
    <row r="13" spans="1:23" ht="45" x14ac:dyDescent="0.25">
      <c r="A13" s="51"/>
      <c r="B13" s="23" t="str">
        <f>"• Banana volume per standard carton box (that was used as unit of measurement for estimating the Fairtrade Minimum Price for Fairtrade banana from "&amp;$K$11&amp;"):"</f>
        <v>• Banana volume per standard carton box (that was used as unit of measurement for estimating the Fairtrade Minimum Price for Fairtrade banana from ):</v>
      </c>
      <c r="C13" s="24">
        <v>18.14</v>
      </c>
      <c r="D13" s="25" t="s">
        <v>8</v>
      </c>
      <c r="E13" s="52"/>
      <c r="O13" s="9"/>
      <c r="V13" s="9"/>
    </row>
    <row r="14" spans="1:23" x14ac:dyDescent="0.25">
      <c r="A14" s="51"/>
      <c r="B14" s="26" t="s">
        <v>15</v>
      </c>
      <c r="C14" s="21"/>
      <c r="D14" s="22"/>
      <c r="E14" s="52"/>
    </row>
    <row r="15" spans="1:23" ht="30.75" customHeight="1" x14ac:dyDescent="0.25">
      <c r="A15" s="51"/>
      <c r="B15" s="20" t="str">
        <f>"• "&amp;$C$7&amp;" Fairtrade Minimum Price 2019, in US dollars per box of "&amp;$C$13&amp;"kg of "&amp;$C$6&amp;" from "&amp;$K$11&amp;":"</f>
        <v>•  Fairtrade Minimum Price 2019, in US dollars per box of 18.14kg of  from :</v>
      </c>
      <c r="C15" s="27" t="str">
        <f>IF(AND($C$7=$U$2,$O$11=0),"",
IF($C$7=$U$2,$O$11,
IF(AND($C$7=$U$3,$V$11=0),"",
IF($C$7=$U$3,$V$11,""))))</f>
        <v/>
      </c>
      <c r="D15" s="22" t="str">
        <f>D12</f>
        <v/>
      </c>
      <c r="E15" s="52"/>
      <c r="K15" s="11"/>
    </row>
    <row r="16" spans="1:23" ht="33.75" customHeight="1" x14ac:dyDescent="0.25">
      <c r="A16" s="51"/>
      <c r="B16" s="23" t="str">
        <f>IF(P11=FALSE,"",
IF(OR($C$7=$U$3,$C$15=""),"",
"• Ex Works Fairtrade Minimum Price 2019, in US dollars per box of "&amp;$C$13&amp;"kg of "&amp;$C$6&amp;" from "&amp;$K$11&amp;":"))</f>
        <v/>
      </c>
      <c r="C16" s="28" t="str">
        <f>IF(P11=FALSE,"",
IF(OR($C$7=$U$3,$C$15=""),"",
IF($C$7=$U$2,$V$11,"")))</f>
        <v/>
      </c>
      <c r="D16" s="25" t="str">
        <f>IF(P11=FALSE,"",
IF(OR($C$7=$U$3,$C$15=""),"",D15))</f>
        <v/>
      </c>
      <c r="E16" s="52"/>
      <c r="K16" s="11"/>
    </row>
    <row r="17" spans="1:11" ht="15.75" x14ac:dyDescent="0.25">
      <c r="A17" s="51"/>
      <c r="B17" s="29" t="s">
        <v>18</v>
      </c>
      <c r="C17" s="27"/>
      <c r="D17" s="22"/>
      <c r="E17" s="52"/>
      <c r="K17" s="11"/>
    </row>
    <row r="18" spans="1:11" ht="30" x14ac:dyDescent="0.25">
      <c r="A18" s="51"/>
      <c r="B18" s="30" t="s">
        <v>19</v>
      </c>
      <c r="C18" s="10"/>
      <c r="D18" s="22" t="s">
        <v>8</v>
      </c>
      <c r="E18" s="52"/>
    </row>
    <row r="19" spans="1:11" ht="33.75" customHeight="1" x14ac:dyDescent="0.25">
      <c r="A19" s="51"/>
      <c r="B19" s="31" t="str">
        <f>IF(P11=FALSE,"",
IF($C$7=$U$2,
"• Price of the special carton box ("&amp;VLOOKUP($C$5,$K$2:$N$9,4,FALSE)&amp;" the value added tax), paid by the producer that exports by themselves:",
IF($C$7=$U$3,
"• Price of the special carton box ("&amp;VLOOKUP($C$5,$K$2:$N$9,4,FALSE)&amp;" the value added tax), paid by the producer at Ex Works level:")))</f>
        <v/>
      </c>
      <c r="C19" s="12"/>
      <c r="D19" s="25" t="str">
        <f>"USD/box"&amp;$C$18&amp;"kg"</f>
        <v>USD/boxkg</v>
      </c>
      <c r="E19" s="52"/>
    </row>
    <row r="20" spans="1:11" ht="18.75" x14ac:dyDescent="0.25">
      <c r="A20" s="51"/>
      <c r="B20" s="32" t="s">
        <v>22</v>
      </c>
      <c r="C20" s="35"/>
      <c r="D20" s="22"/>
      <c r="E20" s="52"/>
    </row>
    <row r="21" spans="1:11" ht="18" customHeight="1" x14ac:dyDescent="0.25">
      <c r="A21" s="51"/>
      <c r="B21" s="61" t="str">
        <f>IF(P11=FALSE,"",
"• Pro-rated "&amp;$C$7&amp;" Fairtrade Minimum Price 2019 per special carton box of "&amp;$C$18&amp;"kg of "&amp;$C$6&amp;" from "&amp;C5&amp;":")</f>
        <v/>
      </c>
      <c r="C21" s="36" t="str">
        <f>IF(P11=FALSE,"",
IF($C$15="","",
IF($C$7=$U$2,ROUND((((C15-C12)/C13)*C18)+C19,2),
IF($C$7=$U$3,ROUND((((C15)/C13)*C18),2)))))</f>
        <v/>
      </c>
      <c r="D21" s="33" t="str">
        <f>IF(P11=FALSE,"",D19)</f>
        <v/>
      </c>
      <c r="E21" s="52"/>
    </row>
    <row r="22" spans="1:11" x14ac:dyDescent="0.25">
      <c r="A22" s="51"/>
      <c r="B22" s="61"/>
      <c r="C22" s="37" t="str">
        <f>IF(P11=FALSE,"",
IF($C$15="","",
IF($C$7=$U$2," = [("&amp;$C$15&amp;"-"&amp;$C$12&amp;")/"&amp;$C$13&amp;"]*"&amp;$C$18&amp;"+"&amp;ROUND($C$19,2)&amp;" = "&amp;$C$21,
IF($C$7=$U$3," = ("&amp;$C$15&amp;")/"&amp;$C$13&amp;"*"&amp;$C$18&amp;" = "&amp;$C$21))))</f>
        <v/>
      </c>
      <c r="D22" s="22"/>
      <c r="E22" s="52"/>
    </row>
    <row r="23" spans="1:11" x14ac:dyDescent="0.25">
      <c r="A23" s="51"/>
      <c r="B23" s="61" t="str">
        <f>IF(P11=FALSE,"",
IF(OR($C$7=$U$3,$C$15=""),"",
"• Pro-rated Ex Works Fairtrade Minimum Price 2019 per special carton box of "&amp;$C$18&amp;"kg of "&amp;$C$6&amp;" from "&amp;C5&amp;":"))</f>
        <v/>
      </c>
      <c r="C23" s="36" t="str">
        <f>IF(P11=FALSE,"",
IF(OR($C$7=$U$3,$C$15=""),"",
ROUND((((V11)/C13)*C18),2)))</f>
        <v/>
      </c>
      <c r="D23" s="33" t="str">
        <f>IF(P11=FALSE,"",
IF(OR($C$7=$U$3,$C$15=""),"",
D21))</f>
        <v/>
      </c>
      <c r="E23" s="52"/>
    </row>
    <row r="24" spans="1:11" ht="27" thickBot="1" x14ac:dyDescent="0.45">
      <c r="A24" s="51"/>
      <c r="B24" s="62"/>
      <c r="C24" s="38" t="str">
        <f>IF(P11=FALSE,"",
IF(OR($C$7=$U$3,$C$15=""),"",
" = ["&amp;$V$11&amp;"/"&amp;$C$13&amp;"]*"&amp;$C$18&amp;" = "&amp;$C$23))</f>
        <v/>
      </c>
      <c r="D24" s="34"/>
      <c r="E24" s="52"/>
      <c r="G24" s="8"/>
    </row>
    <row r="25" spans="1:11" ht="15.75" thickBot="1" x14ac:dyDescent="0.3">
      <c r="A25" s="51"/>
      <c r="B25" s="57"/>
      <c r="C25" s="58"/>
      <c r="D25" s="58"/>
      <c r="E25" s="52"/>
      <c r="G25" s="13"/>
    </row>
    <row r="26" spans="1:11" ht="32.25" thickBot="1" x14ac:dyDescent="0.3">
      <c r="A26" s="51"/>
      <c r="B26" s="59" t="str">
        <f>"EXAMPLE 2:
 PRO-RATA TO IFCO BOX "&amp;IF(ISBLANK($C$34),"FOR BANANA","OF "&amp;$C$34&amp;"kg FOR BANANA")</f>
        <v>EXAMPLE 2:
 PRO-RATA TO IFCO BOX FOR BANANA</v>
      </c>
      <c r="C26" s="64"/>
      <c r="D26" s="65"/>
      <c r="E26" s="52"/>
    </row>
    <row r="27" spans="1:11" x14ac:dyDescent="0.25">
      <c r="A27" s="51"/>
      <c r="B27" s="17" t="str">
        <f t="shared" ref="B27:B32" si="0">B11</f>
        <v>Standard carton box</v>
      </c>
      <c r="C27" s="18"/>
      <c r="D27" s="19"/>
      <c r="E27" s="52"/>
      <c r="K27" s="13"/>
    </row>
    <row r="28" spans="1:11" ht="48.75" customHeight="1" x14ac:dyDescent="0.25">
      <c r="A28" s="51"/>
      <c r="B28" s="20" t="str">
        <f t="shared" si="0"/>
        <v/>
      </c>
      <c r="C28" s="21" t="str">
        <f>C12</f>
        <v/>
      </c>
      <c r="D28" s="22" t="str">
        <f>D12</f>
        <v/>
      </c>
      <c r="E28" s="52"/>
    </row>
    <row r="29" spans="1:11" ht="45" x14ac:dyDescent="0.25">
      <c r="A29" s="51"/>
      <c r="B29" s="20" t="str">
        <f t="shared" si="0"/>
        <v>• Banana volume per standard carton box (that was used as unit of measurement for estimating the Fairtrade Minimum Price for Fairtrade banana from ):</v>
      </c>
      <c r="C29" s="21">
        <f>C13</f>
        <v>18.14</v>
      </c>
      <c r="D29" s="22" t="str">
        <f>D13</f>
        <v>kg</v>
      </c>
      <c r="E29" s="52"/>
    </row>
    <row r="30" spans="1:11" ht="18.75" x14ac:dyDescent="0.25">
      <c r="A30" s="51"/>
      <c r="B30" s="39" t="str">
        <f t="shared" si="0"/>
        <v>Fairtrade Minimum Price</v>
      </c>
      <c r="C30" s="40"/>
      <c r="D30" s="41"/>
      <c r="E30" s="52"/>
    </row>
    <row r="31" spans="1:11" ht="33.75" customHeight="1" x14ac:dyDescent="0.25">
      <c r="A31" s="51"/>
      <c r="B31" s="30" t="str">
        <f t="shared" si="0"/>
        <v>•  Fairtrade Minimum Price 2019, in US dollars per box of 18.14kg of  from :</v>
      </c>
      <c r="C31" s="27" t="str">
        <f>C15</f>
        <v/>
      </c>
      <c r="D31" s="22" t="str">
        <f>D15</f>
        <v/>
      </c>
      <c r="E31" s="52"/>
    </row>
    <row r="32" spans="1:11" ht="33.75" customHeight="1" x14ac:dyDescent="0.25">
      <c r="A32" s="51"/>
      <c r="B32" s="31" t="str">
        <f t="shared" si="0"/>
        <v/>
      </c>
      <c r="C32" s="42" t="str">
        <f>C16</f>
        <v/>
      </c>
      <c r="D32" s="25" t="str">
        <f>D16</f>
        <v/>
      </c>
      <c r="E32" s="52"/>
    </row>
    <row r="33" spans="1:26" x14ac:dyDescent="0.25">
      <c r="A33" s="51"/>
      <c r="B33" s="32" t="s">
        <v>16</v>
      </c>
      <c r="C33" s="27"/>
      <c r="D33" s="22"/>
      <c r="E33" s="52"/>
      <c r="K33" s="13"/>
      <c r="S33" s="7"/>
      <c r="T33" s="7"/>
      <c r="U33" s="7"/>
      <c r="V33" s="7"/>
      <c r="W33" s="7"/>
      <c r="X33" s="7"/>
      <c r="Y33" s="7"/>
      <c r="Z33" s="7"/>
    </row>
    <row r="34" spans="1:26" ht="30" x14ac:dyDescent="0.25">
      <c r="A34" s="51"/>
      <c r="B34" s="30" t="s">
        <v>17</v>
      </c>
      <c r="C34" s="10"/>
      <c r="D34" s="43" t="s">
        <v>8</v>
      </c>
      <c r="E34" s="52"/>
      <c r="S34" s="7"/>
      <c r="T34" s="7"/>
      <c r="U34" s="7"/>
      <c r="V34" s="7"/>
      <c r="W34" s="7"/>
      <c r="X34" s="7"/>
      <c r="Y34" s="7"/>
      <c r="Z34" s="7"/>
    </row>
    <row r="35" spans="1:26" x14ac:dyDescent="0.25">
      <c r="A35" s="51"/>
      <c r="B35" s="30" t="str">
        <f>IF(P11=FALSE,"",
IF($C$7=$U$2,
"• Price per IFCO box paid by the producer that exports by themselves:",
IF($C$7=$U$3,
"• Price per IFCO box paid by the producer at Ex Works level:")))</f>
        <v/>
      </c>
      <c r="C35" s="24" t="str">
        <f>IF(P11=FALSE,"",0)</f>
        <v/>
      </c>
      <c r="D35" s="22" t="str">
        <f>IF(P11=FALSE,"",
"USD/IFCObox"&amp;$C$34&amp;"kg")</f>
        <v/>
      </c>
      <c r="E35" s="52"/>
      <c r="S35" s="7"/>
      <c r="T35" s="7"/>
      <c r="U35" s="7"/>
      <c r="V35" s="7"/>
      <c r="W35" s="7"/>
      <c r="X35" s="7"/>
      <c r="Y35" s="7"/>
      <c r="Z35" s="7"/>
    </row>
    <row r="36" spans="1:26" ht="18.75" x14ac:dyDescent="0.25">
      <c r="A36" s="51"/>
      <c r="B36" s="39" t="str">
        <f>B20</f>
        <v>Pro rata</v>
      </c>
      <c r="C36" s="40"/>
      <c r="D36" s="41"/>
      <c r="E36" s="52"/>
      <c r="S36" s="7"/>
      <c r="T36" s="7"/>
      <c r="U36" s="7"/>
      <c r="V36" s="7"/>
      <c r="W36" s="7"/>
      <c r="X36" s="7"/>
      <c r="Y36" s="7"/>
      <c r="Z36" s="7"/>
    </row>
    <row r="37" spans="1:26" ht="21" customHeight="1" x14ac:dyDescent="0.25">
      <c r="A37" s="51"/>
      <c r="B37" s="61" t="str">
        <f>IF(P11=FALSE,"",
"• Pro-rated "&amp;$C$7&amp;" Fairtrade Minimum Price 2019 per IFCO box of "&amp;$C$34&amp;"kg of "&amp;$C$6&amp;" from "&amp;$C$5&amp;":")</f>
        <v/>
      </c>
      <c r="C37" s="45" t="str">
        <f>IF(P11=FALSE,"",
IF($C$31="","",
IF($C$7=$U$2,ROUND((((C31-C28)/C29)*C34)+C35,2),
IF($C$7=$U$3,ROUND(((C31/C29)*C34),2)))))</f>
        <v/>
      </c>
      <c r="D37" s="44" t="str">
        <f>IF(P11=FALSE,"",
D35)</f>
        <v/>
      </c>
      <c r="E37" s="52"/>
      <c r="S37" s="7"/>
      <c r="T37" s="7"/>
      <c r="U37" s="7"/>
      <c r="V37" s="7"/>
      <c r="W37" s="7"/>
      <c r="X37" s="7"/>
      <c r="Y37" s="7"/>
      <c r="Z37" s="7"/>
    </row>
    <row r="38" spans="1:26" ht="26.25" x14ac:dyDescent="0.4">
      <c r="A38" s="51"/>
      <c r="B38" s="61"/>
      <c r="C38" s="21" t="str">
        <f>IF(P11=FALSE,"",
IF($C$31="","",
IF($C$7=$U$2," = [("&amp;$C$31&amp;"-"&amp;$C$28&amp;")/"&amp;$C$29&amp;"]*"&amp;$C$34&amp;" + "&amp;$C$35&amp;" = "&amp;$C$37,
IF($C$7=$U$3," = ("&amp;$C$31&amp;"/"&amp;$C$29&amp;")*"&amp;$C$34&amp;" = "&amp;$C$37))))</f>
        <v/>
      </c>
      <c r="D38" s="22"/>
      <c r="E38" s="52"/>
      <c r="S38" s="7"/>
      <c r="T38" s="14"/>
      <c r="U38" s="7"/>
      <c r="V38" s="15"/>
      <c r="W38" s="15"/>
      <c r="X38" s="7"/>
      <c r="Y38" s="7"/>
      <c r="Z38" s="7"/>
    </row>
    <row r="39" spans="1:26" x14ac:dyDescent="0.25">
      <c r="A39" s="51"/>
      <c r="B39" s="61" t="str">
        <f>IF(P11=FALSE,"",
IF(OR($C$7=$U$3,$C$31=""),"","• Pro-rated Ex Works Fairtrade Minimum Price 2019 per IFCO box of "&amp;$C$34&amp;"kg of "&amp;$C$6&amp;" from "&amp;$C$5&amp;":"))</f>
        <v/>
      </c>
      <c r="C39" s="45" t="str">
        <f>IF(P11=FALSE,"",
IF(OR($C$7=$U$3,$C$31=""),"",
ROUND(((V11/C29)*C34),2)))</f>
        <v/>
      </c>
      <c r="D39" s="44" t="str">
        <f>IF(P11=FALSE,"",
IF(OR($C$7=$U$3,$C$31=""),"",
D37))</f>
        <v/>
      </c>
      <c r="E39" s="52"/>
      <c r="S39" s="7"/>
      <c r="T39" s="7"/>
      <c r="U39" s="7"/>
      <c r="V39" s="15"/>
      <c r="W39" s="15"/>
      <c r="X39" s="7"/>
      <c r="Y39" s="7"/>
      <c r="Z39" s="7"/>
    </row>
    <row r="40" spans="1:26" ht="15.75" thickBot="1" x14ac:dyDescent="0.3">
      <c r="A40" s="51"/>
      <c r="B40" s="62"/>
      <c r="C40" s="38" t="str">
        <f>IF(P11=FALSE,"",
IF(OR($C$7=$U$3,$C$31=""),"",
" = ["&amp;$V$11&amp;"/"&amp;$C$29&amp;"]*"&amp;$C$34&amp;" = "&amp;$C$39))</f>
        <v/>
      </c>
      <c r="D40" s="34"/>
      <c r="E40" s="52"/>
      <c r="S40" s="7"/>
      <c r="T40" s="7"/>
      <c r="U40" s="7"/>
      <c r="V40" s="15"/>
      <c r="W40" s="15"/>
      <c r="X40" s="7"/>
      <c r="Y40" s="7"/>
      <c r="Z40" s="7"/>
    </row>
    <row r="41" spans="1:26" ht="15.75" thickBot="1" x14ac:dyDescent="0.3">
      <c r="A41" s="53"/>
      <c r="B41" s="54"/>
      <c r="C41" s="55"/>
      <c r="D41" s="55"/>
      <c r="E41" s="56"/>
      <c r="S41" s="7"/>
      <c r="T41" s="7"/>
      <c r="U41" s="7"/>
      <c r="V41" s="15"/>
      <c r="W41" s="15"/>
      <c r="X41" s="7"/>
      <c r="Y41" s="7"/>
      <c r="Z41" s="7"/>
    </row>
    <row r="42" spans="1:26" x14ac:dyDescent="0.25">
      <c r="A42" s="16"/>
      <c r="C42" s="16"/>
      <c r="D42" s="16"/>
      <c r="E42" s="16"/>
      <c r="S42" s="7"/>
      <c r="T42" s="7"/>
      <c r="U42" s="7"/>
      <c r="V42" s="15"/>
      <c r="W42" s="15"/>
      <c r="X42" s="7"/>
      <c r="Y42" s="7"/>
      <c r="Z42" s="7"/>
    </row>
    <row r="43" spans="1:26" x14ac:dyDescent="0.25">
      <c r="C43" s="13"/>
      <c r="S43" s="7"/>
      <c r="T43" s="7"/>
      <c r="U43" s="7"/>
      <c r="V43" s="15"/>
      <c r="W43" s="15"/>
      <c r="X43" s="7"/>
      <c r="Y43" s="7"/>
      <c r="Z43" s="7"/>
    </row>
    <row r="44" spans="1:26" x14ac:dyDescent="0.25">
      <c r="S44" s="7"/>
      <c r="T44" s="7"/>
      <c r="U44" s="7"/>
      <c r="V44" s="15"/>
      <c r="W44" s="15"/>
      <c r="X44" s="7"/>
      <c r="Y44" s="7"/>
      <c r="Z44" s="7"/>
    </row>
    <row r="45" spans="1:26" x14ac:dyDescent="0.25">
      <c r="S45" s="7"/>
      <c r="T45" s="7"/>
      <c r="U45" s="7"/>
      <c r="V45" s="7"/>
      <c r="W45" s="7"/>
      <c r="X45" s="7"/>
      <c r="Y45" s="7"/>
      <c r="Z45" s="7"/>
    </row>
    <row r="46" spans="1:26" x14ac:dyDescent="0.25">
      <c r="S46" s="7"/>
      <c r="T46" s="7"/>
      <c r="U46" s="7"/>
      <c r="V46" s="7"/>
      <c r="W46" s="7"/>
      <c r="X46" s="7"/>
      <c r="Y46" s="7"/>
      <c r="Z46" s="7"/>
    </row>
    <row r="47" spans="1:26" x14ac:dyDescent="0.25">
      <c r="S47" s="7"/>
      <c r="T47" s="7"/>
      <c r="U47" s="7"/>
      <c r="V47" s="7"/>
      <c r="W47" s="7"/>
      <c r="X47" s="7"/>
      <c r="Y47" s="7"/>
      <c r="Z47" s="7"/>
    </row>
  </sheetData>
  <sheetProtection password="B222" sheet="1" objects="1" scenarios="1"/>
  <mergeCells count="11">
    <mergeCell ref="B1:D1"/>
    <mergeCell ref="B37:B38"/>
    <mergeCell ref="B39:B40"/>
    <mergeCell ref="C5:D5"/>
    <mergeCell ref="C6:D6"/>
    <mergeCell ref="C10:D10"/>
    <mergeCell ref="C26:D26"/>
    <mergeCell ref="B8:D8"/>
    <mergeCell ref="C7:D7"/>
    <mergeCell ref="B21:B22"/>
    <mergeCell ref="B23:B24"/>
  </mergeCells>
  <dataValidations count="3">
    <dataValidation type="list" allowBlank="1" showInputMessage="1" showErrorMessage="1" sqref="C6">
      <formula1>$Q$2:$Q$3</formula1>
    </dataValidation>
    <dataValidation type="list" allowBlank="1" showInputMessage="1" showErrorMessage="1" sqref="C7:D7">
      <formula1>$U$2:$U$3</formula1>
    </dataValidation>
    <dataValidation type="list" allowBlank="1" showInputMessage="1" showErrorMessage="1" sqref="C5">
      <formula1>$K$2:$K$9</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prorata JP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ana</cp:lastModifiedBy>
  <cp:lastPrinted>2018-10-31T15:05:48Z</cp:lastPrinted>
  <dcterms:created xsi:type="dcterms:W3CDTF">2018-07-16T02:52:01Z</dcterms:created>
  <dcterms:modified xsi:type="dcterms:W3CDTF">2019-02-21T10:30:20Z</dcterms:modified>
</cp:coreProperties>
</file>