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JoseParedes\Desktop\20240705_lo último\2024_Banana price review\8   por nombrar\"/>
    </mc:Choice>
  </mc:AlternateContent>
  <xr:revisionPtr revIDLastSave="0" documentId="13_ncr:1_{5BBA64A5-F912-4F5C-A9A5-219F2E58FBDF}" xr6:coauthVersionLast="47" xr6:coauthVersionMax="47" xr10:uidLastSave="{00000000-0000-0000-0000-000000000000}"/>
  <workbookProtection workbookAlgorithmName="SHA-512" workbookHashValue="xstIGvpcWhneli94npliHr1skbJMVhVycWmu81RLLzzCksV0jj2hbWbxX6w1EpXTrIOSn7oOJalL5XkKsWomYg==" workbookSaltValue="f5UYPiIKtVUNxctG+GO/YQ==" workbookSpinCount="100000" lockStructure="1"/>
  <bookViews>
    <workbookView xWindow="59430" yWindow="1830" windowWidth="21600" windowHeight="11325" tabRatio="846" xr2:uid="{00000000-000D-0000-FFFF-FFFF00000000}"/>
  </bookViews>
  <sheets>
    <sheet name="prorata" sheetId="28" r:id="rId1"/>
    <sheet name="Sheet1" sheetId="2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11" i="28" l="1"/>
  <c r="BX10" i="28"/>
  <c r="BW11" i="28"/>
  <c r="BW10" i="28"/>
  <c r="BP11" i="28"/>
  <c r="BP10" i="28"/>
  <c r="BQ11" i="28"/>
  <c r="BQ10" i="28"/>
  <c r="BZ12" i="28" l="1"/>
  <c r="CA11" i="28"/>
  <c r="BZ11" i="28"/>
  <c r="CA9" i="28"/>
  <c r="BZ9" i="28"/>
  <c r="CA8" i="28"/>
  <c r="BZ8" i="28"/>
  <c r="BW13" i="28"/>
  <c r="BW12" i="28"/>
  <c r="BX8" i="28"/>
  <c r="BW8" i="28"/>
  <c r="BX7" i="28"/>
  <c r="BW7" i="28"/>
  <c r="BX6" i="28"/>
  <c r="BW5" i="28"/>
  <c r="BP13" i="28"/>
  <c r="BP12" i="28"/>
  <c r="BQ8" i="28"/>
  <c r="BP8" i="28"/>
  <c r="BQ7" i="28"/>
  <c r="BP7" i="28"/>
  <c r="BQ6" i="28"/>
  <c r="BP5" i="28"/>
  <c r="BM10" i="28"/>
  <c r="CD5" i="28" l="1"/>
  <c r="BO13" i="28"/>
  <c r="BO12" i="28"/>
  <c r="BM13" i="28" l="1"/>
  <c r="BM12" i="28"/>
  <c r="BM11" i="28"/>
  <c r="BL11" i="28"/>
  <c r="BI10" i="28" s="1"/>
  <c r="BM8" i="28"/>
  <c r="BM7" i="28"/>
  <c r="BM6" i="28"/>
  <c r="BM5" i="28"/>
  <c r="CP4" i="28"/>
  <c r="CO4" i="28"/>
  <c r="CQ4" i="28"/>
  <c r="CR4" i="28"/>
  <c r="CR14" i="28"/>
  <c r="CQ14" i="28"/>
  <c r="CP14" i="28"/>
  <c r="CO14" i="28"/>
  <c r="BG5" i="28"/>
  <c r="BF5" i="28"/>
  <c r="BE5" i="28"/>
  <c r="CQ81" i="28" l="1"/>
  <c r="CP81" i="28"/>
  <c r="CO81" i="28"/>
  <c r="CR81" i="28"/>
  <c r="CB9" i="28"/>
  <c r="CQ55" i="28" s="1"/>
  <c r="CR65" i="28" s="1"/>
  <c r="CB8" i="28"/>
  <c r="CH6" i="28"/>
  <c r="CG6" i="28"/>
  <c r="CF6" i="28"/>
  <c r="CE6" i="28"/>
  <c r="CD81" i="28"/>
  <c r="CD80" i="28"/>
  <c r="CW64" i="28" l="1"/>
  <c r="CP51" i="28" l="1"/>
  <c r="CO63" i="28" s="1"/>
  <c r="AO10" i="28"/>
  <c r="BQ14" i="28"/>
  <c r="BN15" i="28"/>
  <c r="BH22" i="28"/>
  <c r="BH21" i="28"/>
  <c r="BH23" i="28"/>
  <c r="BH24" i="28"/>
  <c r="BJ21" i="28"/>
  <c r="CA114" i="28" s="1"/>
  <c r="CR32" i="28" l="1"/>
  <c r="CQ32" i="28"/>
  <c r="CP32" i="28"/>
  <c r="CO32" i="28"/>
  <c r="BL10" i="28" l="1"/>
  <c r="BI9" i="28" s="1"/>
  <c r="CO56" i="28" l="1"/>
  <c r="BS10" i="28"/>
  <c r="CO55" i="28"/>
  <c r="AZ17" i="28"/>
  <c r="AZ18" i="28"/>
  <c r="AP22" i="28" s="1"/>
  <c r="AP24" i="28" s="1"/>
  <c r="AP26" i="28" s="1"/>
  <c r="AZ19" i="28"/>
  <c r="AZ20" i="28"/>
  <c r="AP28" i="28" s="1"/>
  <c r="AP30" i="28" s="1"/>
  <c r="AP32" i="28" s="1"/>
  <c r="AZ21" i="28"/>
  <c r="AZ22" i="28"/>
  <c r="AP34" i="28" s="1"/>
  <c r="AP36" i="28" s="1"/>
  <c r="AZ23" i="28"/>
  <c r="AS23" i="28" s="1"/>
  <c r="AS32" i="28" s="1"/>
  <c r="AZ24" i="28"/>
  <c r="AS24" i="28" s="1"/>
  <c r="AS33" i="28" s="1"/>
  <c r="AZ25" i="28"/>
  <c r="AZ26" i="28"/>
  <c r="AS26" i="28" s="1"/>
  <c r="AS35" i="28" s="1"/>
  <c r="AZ27" i="28"/>
  <c r="AS27" i="28" s="1"/>
  <c r="AS36" i="28" s="1"/>
  <c r="AZ28" i="28"/>
  <c r="AS28" i="28" s="1"/>
  <c r="AS37" i="28" s="1"/>
  <c r="AZ29" i="28"/>
  <c r="AZ30" i="28"/>
  <c r="AS30" i="28" s="1"/>
  <c r="AZ31" i="28"/>
  <c r="AS31" i="28" s="1"/>
  <c r="AZ32" i="28"/>
  <c r="AZ33" i="28"/>
  <c r="AZ34" i="28"/>
  <c r="AZ35" i="28"/>
  <c r="AZ36" i="28"/>
  <c r="AZ37" i="28"/>
  <c r="AP21" i="28" l="1"/>
  <c r="AP23" i="28" s="1"/>
  <c r="AP25" i="28" s="1"/>
  <c r="AP33" i="28"/>
  <c r="AP35" i="28" s="1"/>
  <c r="AP37" i="28" s="1"/>
  <c r="AS25" i="28"/>
  <c r="AS34" i="28" s="1"/>
  <c r="AS29" i="28"/>
  <c r="AP27" i="28"/>
  <c r="AP29" i="28" s="1"/>
  <c r="AP31" i="28" s="1"/>
  <c r="CC91" i="28"/>
  <c r="CC100" i="28" s="1"/>
  <c r="CD100" i="28" s="1"/>
  <c r="CC93" i="28"/>
  <c r="CC102" i="28" s="1"/>
  <c r="CD102" i="28" s="1"/>
  <c r="CC95" i="28"/>
  <c r="CC96" i="28"/>
  <c r="CC105" i="28" s="1"/>
  <c r="CD105" i="28" s="1"/>
  <c r="CC98" i="28"/>
  <c r="CC99" i="28"/>
  <c r="CC108" i="28" s="1"/>
  <c r="CD108" i="28" s="1"/>
  <c r="CD91" i="28"/>
  <c r="CD74" i="28"/>
  <c r="CC74" i="28"/>
  <c r="CC83" i="28" s="1"/>
  <c r="CD83" i="28" s="1"/>
  <c r="CD93" i="28"/>
  <c r="CD95" i="28"/>
  <c r="CD78" i="28"/>
  <c r="CD96" i="28"/>
  <c r="CC78" i="28"/>
  <c r="CC87" i="28" s="1"/>
  <c r="CD87" i="28" s="1"/>
  <c r="CD98" i="28"/>
  <c r="CD99" i="28"/>
  <c r="CC81" i="28"/>
  <c r="CC90" i="28" s="1"/>
  <c r="CD90" i="28" s="1"/>
  <c r="CB78" i="28"/>
  <c r="CB87" i="28" s="1"/>
  <c r="CB96" i="28" s="1"/>
  <c r="CB105" i="28" s="1"/>
  <c r="CB81" i="28"/>
  <c r="CB90" i="28" s="1"/>
  <c r="CB99" i="28" s="1"/>
  <c r="CB108" i="28" s="1"/>
  <c r="CQ54" i="28"/>
  <c r="CR64" i="28" s="1"/>
  <c r="CQ57" i="28"/>
  <c r="CQ58" i="28"/>
  <c r="CQ51" i="28"/>
  <c r="CP52" i="28"/>
  <c r="CP54" i="28"/>
  <c r="CR63" i="28" s="1"/>
  <c r="CP55" i="28"/>
  <c r="CS63" i="28" s="1"/>
  <c r="CP56" i="28"/>
  <c r="CT63" i="28" s="1"/>
  <c r="CP57" i="28"/>
  <c r="CU63" i="28" s="1"/>
  <c r="CP58" i="28"/>
  <c r="CV63" i="28" s="1"/>
  <c r="CP59" i="28"/>
  <c r="CW63" i="28" s="1"/>
  <c r="B10" i="28"/>
  <c r="CA4" i="28"/>
  <c r="BZ4" i="28"/>
  <c r="BP4" i="28"/>
  <c r="CC80" i="28"/>
  <c r="CC89" i="28" s="1"/>
  <c r="CD89" i="28" s="1"/>
  <c r="CC97" i="28"/>
  <c r="CC106" i="28" s="1"/>
  <c r="CD106" i="28" s="1"/>
  <c r="CC79" i="28"/>
  <c r="CC88" i="28" s="1"/>
  <c r="CD88" i="28" s="1"/>
  <c r="CC77" i="28"/>
  <c r="CC94" i="28"/>
  <c r="CC103" i="28" s="1"/>
  <c r="CD103" i="28" s="1"/>
  <c r="CC76" i="28"/>
  <c r="CC85" i="28" s="1"/>
  <c r="CD85" i="28" s="1"/>
  <c r="CC75" i="28"/>
  <c r="CC84" i="28" s="1"/>
  <c r="CD84" i="28" s="1"/>
  <c r="CC92" i="28"/>
  <c r="CC101" i="28" s="1"/>
  <c r="CD101" i="28" s="1"/>
  <c r="CC73" i="28"/>
  <c r="CC82" i="28" s="1"/>
  <c r="CD82" i="28" s="1"/>
  <c r="CD97" i="28"/>
  <c r="CD79" i="28"/>
  <c r="CD77" i="28"/>
  <c r="CD94" i="28"/>
  <c r="CD76" i="28"/>
  <c r="CD75" i="28"/>
  <c r="CD92" i="28"/>
  <c r="CD73" i="28"/>
  <c r="BQ4" i="28"/>
  <c r="AZ49" i="28"/>
  <c r="AS85" i="28" s="1"/>
  <c r="AS94" i="28" s="1"/>
  <c r="AS103" i="28" s="1"/>
  <c r="AZ58" i="28"/>
  <c r="AS112" i="28" s="1"/>
  <c r="AS121" i="28" s="1"/>
  <c r="AS130" i="28" s="1"/>
  <c r="AZ40" i="28"/>
  <c r="AS58" i="28" s="1"/>
  <c r="AS67" i="28" s="1"/>
  <c r="AS76" i="28" s="1"/>
  <c r="AS40" i="28"/>
  <c r="AS49" i="28" s="1"/>
  <c r="BL13" i="28"/>
  <c r="BI12" i="28" s="1"/>
  <c r="BJ14" i="28"/>
  <c r="BL12" i="28"/>
  <c r="BI11" i="28" s="1"/>
  <c r="BL8" i="28"/>
  <c r="BI8" i="28" s="1"/>
  <c r="BL7" i="28"/>
  <c r="BI7" i="28" s="1"/>
  <c r="BL6" i="28"/>
  <c r="BI6" i="28" s="1"/>
  <c r="CB80" i="28"/>
  <c r="CB89" i="28" s="1"/>
  <c r="CB98" i="28" s="1"/>
  <c r="CB107" i="28" s="1"/>
  <c r="CB79" i="28"/>
  <c r="CB88" i="28" s="1"/>
  <c r="CB97" i="28" s="1"/>
  <c r="CB106" i="28" s="1"/>
  <c r="CB77" i="28"/>
  <c r="CB76" i="28"/>
  <c r="CB85" i="28" s="1"/>
  <c r="CB94" i="28" s="1"/>
  <c r="CB103" i="28" s="1"/>
  <c r="CB75" i="28"/>
  <c r="CB84" i="28" s="1"/>
  <c r="CB93" i="28" s="1"/>
  <c r="CB102" i="28" s="1"/>
  <c r="CB74" i="28"/>
  <c r="CB83" i="28" s="1"/>
  <c r="CB92" i="28" s="1"/>
  <c r="CB101" i="28" s="1"/>
  <c r="CB73" i="28"/>
  <c r="CB82" i="28" s="1"/>
  <c r="CB91" i="28" s="1"/>
  <c r="CB100" i="28" s="1"/>
  <c r="CC104" i="28" l="1"/>
  <c r="CD104" i="28" s="1"/>
  <c r="CB86" i="28"/>
  <c r="CB95" i="28" s="1"/>
  <c r="CB104" i="28" s="1"/>
  <c r="CC107" i="28"/>
  <c r="CD107" i="28" s="1"/>
  <c r="BY6" i="28"/>
  <c r="BS6" i="28"/>
  <c r="CO52" i="28"/>
  <c r="CP62" i="28" s="1"/>
  <c r="CC86" i="28"/>
  <c r="CD86" i="28" s="1"/>
  <c r="BY7" i="28"/>
  <c r="BS7" i="28"/>
  <c r="CO53" i="28"/>
  <c r="CQ62" i="28" s="1"/>
  <c r="BY12" i="28"/>
  <c r="BS12" i="28"/>
  <c r="BY13" i="28"/>
  <c r="BS13" i="28"/>
  <c r="BY8" i="28"/>
  <c r="CA86" i="28"/>
  <c r="BS8" i="28"/>
  <c r="CA104" i="28"/>
  <c r="CO54" i="28"/>
  <c r="CR62" i="28" s="1"/>
  <c r="CO59" i="28"/>
  <c r="CW62" i="28" s="1"/>
  <c r="CJ80" i="28"/>
  <c r="CO58" i="28"/>
  <c r="CV62" i="28" s="1"/>
  <c r="CJ79" i="28"/>
  <c r="CK73" i="28"/>
  <c r="CJ74" i="28"/>
  <c r="CK77" i="28" s="1"/>
  <c r="CJ75" i="28"/>
  <c r="CP63" i="28"/>
  <c r="CU64" i="28"/>
  <c r="CO64" i="28"/>
  <c r="CV64" i="28"/>
  <c r="CA85" i="28"/>
  <c r="CA89" i="28"/>
  <c r="CA99" i="28"/>
  <c r="CA108" i="28"/>
  <c r="CA76" i="28"/>
  <c r="CA107" i="28"/>
  <c r="CA83" i="28"/>
  <c r="CA74" i="28"/>
  <c r="CA90" i="28"/>
  <c r="CA94" i="28"/>
  <c r="CA81" i="28"/>
  <c r="CA80" i="28"/>
  <c r="CA92" i="28"/>
  <c r="CA103" i="28"/>
  <c r="CA102" i="28"/>
  <c r="CA84" i="28"/>
  <c r="CA98" i="28"/>
  <c r="CA101" i="28"/>
  <c r="CK74" i="28" l="1"/>
  <c r="BJ8" i="28"/>
  <c r="BJ7" i="28"/>
  <c r="BJ6" i="28"/>
  <c r="B9" i="28"/>
  <c r="B8" i="28"/>
  <c r="AZ47" i="28"/>
  <c r="BL5" i="28"/>
  <c r="AZ7" i="28"/>
  <c r="AZ6" i="28"/>
  <c r="AZ5" i="28"/>
  <c r="AZ4" i="28"/>
  <c r="BG4" i="28"/>
  <c r="BF4" i="28"/>
  <c r="BE4" i="28"/>
  <c r="BD4" i="28"/>
  <c r="BM14" i="28" l="1"/>
  <c r="BI5" i="28"/>
  <c r="BS5" i="28"/>
  <c r="CO51" i="28"/>
  <c r="CA79" i="28"/>
  <c r="BS11" i="28"/>
  <c r="BA20" i="28"/>
  <c r="BA19" i="28"/>
  <c r="CJ77" i="28"/>
  <c r="CK75" i="28" s="1"/>
  <c r="BY10" i="28"/>
  <c r="CJ78" i="28"/>
  <c r="CK76" i="28" s="1"/>
  <c r="BY11" i="28"/>
  <c r="BA22" i="28"/>
  <c r="BA21" i="28"/>
  <c r="CJ76" i="28"/>
  <c r="CJ73" i="28"/>
  <c r="BY5" i="28"/>
  <c r="BA24" i="28"/>
  <c r="BA28" i="28"/>
  <c r="BA26" i="28"/>
  <c r="BA23" i="28"/>
  <c r="BA25" i="28"/>
  <c r="BA27" i="28"/>
  <c r="BA29" i="28"/>
  <c r="BA30" i="28"/>
  <c r="BA37" i="28"/>
  <c r="AY37" i="28" s="1"/>
  <c r="BA17" i="28"/>
  <c r="BA35" i="28"/>
  <c r="AY35" i="28" s="1"/>
  <c r="BA32" i="28"/>
  <c r="AY32" i="28" s="1"/>
  <c r="BA34" i="28"/>
  <c r="AY34" i="28" s="1"/>
  <c r="BA18" i="28"/>
  <c r="BA33" i="28"/>
  <c r="AY33" i="28" s="1"/>
  <c r="BA36" i="28"/>
  <c r="AY36" i="28" s="1"/>
  <c r="CA77" i="28"/>
  <c r="CA95" i="28"/>
  <c r="CA78" i="28"/>
  <c r="CA87" i="28"/>
  <c r="CA105" i="28"/>
  <c r="CA96" i="28"/>
  <c r="CO57" i="28"/>
  <c r="CA106" i="28"/>
  <c r="CA97" i="28"/>
  <c r="CA88" i="28"/>
  <c r="CA100" i="28"/>
  <c r="CA82" i="28"/>
  <c r="CA91" i="28"/>
  <c r="CA73" i="28"/>
  <c r="BL14" i="28"/>
  <c r="BL15" i="28" s="1"/>
  <c r="AZ51" i="28"/>
  <c r="AS105" i="28" s="1"/>
  <c r="AS114" i="28" s="1"/>
  <c r="AS123" i="28" s="1"/>
  <c r="AZ52" i="28"/>
  <c r="AZ53" i="28"/>
  <c r="AS107" i="28" s="1"/>
  <c r="AS116" i="28" s="1"/>
  <c r="AS125" i="28" s="1"/>
  <c r="AZ54" i="28"/>
  <c r="AS108" i="28" s="1"/>
  <c r="AS117" i="28" s="1"/>
  <c r="AS126" i="28" s="1"/>
  <c r="AZ55" i="28"/>
  <c r="AS109" i="28" s="1"/>
  <c r="AS118" i="28" s="1"/>
  <c r="AS127" i="28" s="1"/>
  <c r="AZ56" i="28"/>
  <c r="AS110" i="28" s="1"/>
  <c r="AS119" i="28" s="1"/>
  <c r="AS128" i="28" s="1"/>
  <c r="AZ57" i="28"/>
  <c r="AS111" i="28" s="1"/>
  <c r="AS120" i="28" s="1"/>
  <c r="AS129" i="28" s="1"/>
  <c r="AZ50" i="28"/>
  <c r="AS104" i="28" s="1"/>
  <c r="AS113" i="28" s="1"/>
  <c r="AS122" i="28" s="1"/>
  <c r="AZ42" i="28"/>
  <c r="AS78" i="28" s="1"/>
  <c r="AS87" i="28" s="1"/>
  <c r="AS96" i="28" s="1"/>
  <c r="AZ43" i="28"/>
  <c r="AZ44" i="28"/>
  <c r="AS80" i="28" s="1"/>
  <c r="AS89" i="28" s="1"/>
  <c r="AS98" i="28" s="1"/>
  <c r="AZ45" i="28"/>
  <c r="AS81" i="28" s="1"/>
  <c r="AS90" i="28" s="1"/>
  <c r="AS99" i="28" s="1"/>
  <c r="AZ46" i="28"/>
  <c r="AS82" i="28" s="1"/>
  <c r="AS91" i="28" s="1"/>
  <c r="AS100" i="28" s="1"/>
  <c r="AS83" i="28"/>
  <c r="AS92" i="28" s="1"/>
  <c r="AS101" i="28" s="1"/>
  <c r="AZ48" i="28"/>
  <c r="AS84" i="28" s="1"/>
  <c r="AS93" i="28" s="1"/>
  <c r="AS102" i="28" s="1"/>
  <c r="AZ41" i="28"/>
  <c r="AS77" i="28" s="1"/>
  <c r="AS86" i="28" s="1"/>
  <c r="AS95" i="28" s="1"/>
  <c r="AS51" i="28"/>
  <c r="AS60" i="28" s="1"/>
  <c r="AS69" i="28" s="1"/>
  <c r="AS54" i="28"/>
  <c r="AS63" i="28" s="1"/>
  <c r="AS72" i="28" s="1"/>
  <c r="AS55" i="28"/>
  <c r="AS64" i="28" s="1"/>
  <c r="AS73" i="28" s="1"/>
  <c r="AZ38" i="28"/>
  <c r="AS56" i="28" s="1"/>
  <c r="AS65" i="28" s="1"/>
  <c r="AS74" i="28" s="1"/>
  <c r="AZ39" i="28"/>
  <c r="AS57" i="28" s="1"/>
  <c r="AS66" i="28" s="1"/>
  <c r="AS75" i="28" s="1"/>
  <c r="AS50" i="28"/>
  <c r="AS59" i="28" s="1"/>
  <c r="AS68" i="28" s="1"/>
  <c r="AS42" i="28"/>
  <c r="AS45" i="28"/>
  <c r="AS46" i="28"/>
  <c r="AZ16" i="28"/>
  <c r="AZ15" i="28"/>
  <c r="BA57" i="28"/>
  <c r="BA58" i="28" s="1"/>
  <c r="BA56" i="28"/>
  <c r="BA55" i="28"/>
  <c r="BA54" i="28"/>
  <c r="BA53" i="28"/>
  <c r="BA52" i="28"/>
  <c r="BA51" i="28"/>
  <c r="BA50" i="28"/>
  <c r="BA48" i="28"/>
  <c r="BA47" i="28"/>
  <c r="AY47" i="28" s="1"/>
  <c r="BA46" i="28"/>
  <c r="BA45" i="28"/>
  <c r="BA44" i="28"/>
  <c r="BA43" i="28"/>
  <c r="BA42" i="28"/>
  <c r="BA41" i="28"/>
  <c r="BA39" i="28"/>
  <c r="BA38" i="28"/>
  <c r="AR56" i="28" s="1"/>
  <c r="BA16" i="28"/>
  <c r="BA15" i="28"/>
  <c r="BR6" i="28" l="1"/>
  <c r="BR5" i="28"/>
  <c r="BP14" i="28" s="1"/>
  <c r="BS2" i="28"/>
  <c r="AY26" i="28"/>
  <c r="AR35" i="28"/>
  <c r="AR26" i="28"/>
  <c r="AO19" i="28"/>
  <c r="AO17" i="28"/>
  <c r="AR29" i="28"/>
  <c r="AY29" i="28"/>
  <c r="AY50" i="28"/>
  <c r="AY18" i="28"/>
  <c r="AO22" i="28"/>
  <c r="AO24" i="28"/>
  <c r="AO26" i="28"/>
  <c r="AY27" i="28"/>
  <c r="AR27" i="28"/>
  <c r="AR36" i="28"/>
  <c r="AO27" i="28"/>
  <c r="AO29" i="28"/>
  <c r="AO31" i="28"/>
  <c r="AY19" i="28"/>
  <c r="AO43" i="28" s="1"/>
  <c r="AR34" i="28"/>
  <c r="AY25" i="28"/>
  <c r="AR25" i="28"/>
  <c r="AO32" i="28"/>
  <c r="AO28" i="28"/>
  <c r="AO30" i="28"/>
  <c r="AY20" i="28"/>
  <c r="AO44" i="28" s="1"/>
  <c r="AR23" i="28"/>
  <c r="AY23" i="28"/>
  <c r="AR32" i="28"/>
  <c r="AY21" i="28"/>
  <c r="AO45" i="28" s="1"/>
  <c r="AO33" i="28"/>
  <c r="AO35" i="28"/>
  <c r="AO37" i="28"/>
  <c r="AY22" i="28"/>
  <c r="AO46" i="28" s="1"/>
  <c r="AO36" i="28"/>
  <c r="AO34" i="28"/>
  <c r="AY17" i="28"/>
  <c r="AO41" i="28" s="1"/>
  <c r="AO25" i="28"/>
  <c r="AO21" i="28"/>
  <c r="AO23" i="28"/>
  <c r="AR37" i="28"/>
  <c r="AY28" i="28"/>
  <c r="AR28" i="28"/>
  <c r="AO18" i="28"/>
  <c r="AO20" i="28"/>
  <c r="AR33" i="28"/>
  <c r="AY24" i="28"/>
  <c r="AR24" i="28"/>
  <c r="AR30" i="28"/>
  <c r="BA31" i="28"/>
  <c r="AY30" i="28"/>
  <c r="CO62" i="28"/>
  <c r="CU62" i="28"/>
  <c r="CT62" i="28"/>
  <c r="CS62" i="28"/>
  <c r="AR55" i="28"/>
  <c r="AY51" i="28"/>
  <c r="AR46" i="28"/>
  <c r="AR48" i="28"/>
  <c r="AR39" i="28"/>
  <c r="AR54" i="28"/>
  <c r="AY43" i="28"/>
  <c r="AR44" i="28"/>
  <c r="AR59" i="28"/>
  <c r="AR50" i="28"/>
  <c r="AR51" i="28"/>
  <c r="AR60" i="28"/>
  <c r="AR52" i="28"/>
  <c r="AR47" i="28"/>
  <c r="AR38" i="28"/>
  <c r="AY42" i="28"/>
  <c r="AR96" i="28"/>
  <c r="AY58" i="28"/>
  <c r="AR112" i="28"/>
  <c r="AR130" i="28"/>
  <c r="AR121" i="28"/>
  <c r="AR42" i="28"/>
  <c r="AS38" i="28"/>
  <c r="AS47" i="28" s="1"/>
  <c r="AR45" i="28"/>
  <c r="AY48" i="28"/>
  <c r="BA49" i="28"/>
  <c r="AR53" i="28"/>
  <c r="AR41" i="28"/>
  <c r="AY44" i="28"/>
  <c r="AS39" i="28"/>
  <c r="AS48" i="28" s="1"/>
  <c r="AR43" i="28"/>
  <c r="BA40" i="28"/>
  <c r="AR57" i="28"/>
  <c r="AY46" i="28"/>
  <c r="AY45" i="28"/>
  <c r="AP44" i="28"/>
  <c r="AP41" i="28"/>
  <c r="AP42" i="28"/>
  <c r="AP43" i="28"/>
  <c r="AY41" i="28"/>
  <c r="AP45" i="28"/>
  <c r="AP38" i="28"/>
  <c r="AP46" i="28"/>
  <c r="AP15" i="28"/>
  <c r="AP17" i="28" s="1"/>
  <c r="AP19" i="28" s="1"/>
  <c r="AP39" i="28"/>
  <c r="AP16" i="28"/>
  <c r="AP18" i="28" s="1"/>
  <c r="AP20" i="28" s="1"/>
  <c r="AP40" i="28"/>
  <c r="AS41" i="28"/>
  <c r="AY56" i="28"/>
  <c r="AY54" i="28"/>
  <c r="AY38" i="28"/>
  <c r="AR122" i="28"/>
  <c r="AO38" i="28"/>
  <c r="AR83" i="28"/>
  <c r="AY57" i="28"/>
  <c r="AO16" i="28"/>
  <c r="AR105" i="28"/>
  <c r="AR104" i="28"/>
  <c r="AR113" i="28"/>
  <c r="AR82" i="28"/>
  <c r="AR69" i="28"/>
  <c r="AR102" i="28"/>
  <c r="AR109" i="28"/>
  <c r="AR80" i="28"/>
  <c r="AR89" i="28"/>
  <c r="AR73" i="28"/>
  <c r="AR68" i="28"/>
  <c r="AR86" i="28"/>
  <c r="AR106" i="28"/>
  <c r="AR115" i="28"/>
  <c r="AR75" i="28"/>
  <c r="AR64" i="28"/>
  <c r="AR79" i="28"/>
  <c r="AR66" i="28"/>
  <c r="AR126" i="28"/>
  <c r="AR101" i="28"/>
  <c r="AR117" i="28"/>
  <c r="AS43" i="28"/>
  <c r="AS52" i="28"/>
  <c r="AS61" i="28" s="1"/>
  <c r="AS70" i="28" s="1"/>
  <c r="AS79" i="28"/>
  <c r="AS88" i="28" s="1"/>
  <c r="AS97" i="28" s="1"/>
  <c r="AS106" i="28"/>
  <c r="AS115" i="28" s="1"/>
  <c r="AS124" i="28" s="1"/>
  <c r="AO15" i="28"/>
  <c r="AR108" i="28"/>
  <c r="AS44" i="28"/>
  <c r="AS53" i="28"/>
  <c r="AS62" i="28" s="1"/>
  <c r="AS71" i="28" s="1"/>
  <c r="AR116" i="28"/>
  <c r="AR95" i="28"/>
  <c r="AR91" i="28"/>
  <c r="AR78" i="28"/>
  <c r="AR93" i="28"/>
  <c r="AR128" i="28"/>
  <c r="AR124" i="28"/>
  <c r="AR87" i="28"/>
  <c r="AR84" i="28"/>
  <c r="AR99" i="28"/>
  <c r="AR62" i="28"/>
  <c r="AR97" i="28"/>
  <c r="AY16" i="28"/>
  <c r="AO40" i="28" s="1"/>
  <c r="AR129" i="28"/>
  <c r="AR92" i="28"/>
  <c r="AR127" i="28"/>
  <c r="AR90" i="28"/>
  <c r="AR125" i="28"/>
  <c r="AR88" i="28"/>
  <c r="AR123" i="28"/>
  <c r="AY52" i="28"/>
  <c r="AR120" i="28"/>
  <c r="AR118" i="28"/>
  <c r="AR81" i="28"/>
  <c r="AR114" i="28"/>
  <c r="AR119" i="28"/>
  <c r="AR110" i="28"/>
  <c r="AY53" i="28"/>
  <c r="AR77" i="28"/>
  <c r="AR111" i="28"/>
  <c r="AR74" i="28"/>
  <c r="AR72" i="28"/>
  <c r="AR107" i="28"/>
  <c r="AR70" i="28"/>
  <c r="AR71" i="28"/>
  <c r="AR65" i="28"/>
  <c r="AR100" i="28"/>
  <c r="AR63" i="28"/>
  <c r="AR98" i="28"/>
  <c r="AR61" i="28"/>
  <c r="AY55" i="28"/>
  <c r="AY39" i="28"/>
  <c r="AO42" i="28"/>
  <c r="AY15" i="28"/>
  <c r="BD5" i="28"/>
  <c r="BJ5" i="28" s="1"/>
  <c r="B6" i="28" s="1"/>
  <c r="AO9" i="28" l="1"/>
  <c r="AP9" i="28" s="1"/>
  <c r="CL5" i="28"/>
  <c r="CL6" i="28"/>
  <c r="BN16" i="28"/>
  <c r="BN7" i="28" s="1"/>
  <c r="BW14" i="28"/>
  <c r="BN14" i="28"/>
  <c r="BN17" i="28" s="1"/>
  <c r="AR31" i="28"/>
  <c r="AY31" i="28"/>
  <c r="AY40" i="28"/>
  <c r="AR76" i="28"/>
  <c r="AR67" i="28"/>
  <c r="AR58" i="28"/>
  <c r="AR40" i="28"/>
  <c r="AR49" i="28"/>
  <c r="AY49" i="28"/>
  <c r="AR103" i="28"/>
  <c r="AR94" i="28"/>
  <c r="AR85" i="28"/>
  <c r="AO39" i="28"/>
  <c r="CP42" i="28"/>
  <c r="CQ42" i="28"/>
  <c r="CR42" i="28"/>
  <c r="CQ63" i="28" l="1"/>
  <c r="CL4" i="28" s="1"/>
  <c r="CR50" i="28"/>
  <c r="CO48" i="28"/>
  <c r="CP50" i="28"/>
  <c r="CR49" i="28"/>
  <c r="CQ48" i="28"/>
  <c r="CO43" i="28"/>
  <c r="CO50" i="28"/>
  <c r="CR19" i="28"/>
  <c r="CR37" i="28" s="1"/>
  <c r="CR41" i="28"/>
  <c r="CP48" i="28"/>
  <c r="CO49" i="28"/>
  <c r="CO41" i="28"/>
  <c r="CQ50" i="28"/>
  <c r="CP41" i="28"/>
  <c r="CQ49" i="28"/>
  <c r="CR48" i="28"/>
  <c r="CQ41" i="28"/>
  <c r="CP49" i="28"/>
  <c r="CQ19" i="28"/>
  <c r="CP19" i="28"/>
  <c r="AO8" i="28"/>
  <c r="AP8" i="28" s="1"/>
  <c r="CP43" i="28"/>
  <c r="CR43" i="28"/>
  <c r="CQ43" i="28"/>
  <c r="CO19" i="28"/>
  <c r="CX12" i="28"/>
  <c r="CY12" i="28"/>
  <c r="CW12" i="28"/>
  <c r="CZ12" i="28"/>
  <c r="CR12" i="28"/>
  <c r="CQ12" i="28"/>
  <c r="CP12" i="28"/>
  <c r="CO12" i="28"/>
  <c r="BO5" i="28"/>
  <c r="BO6" i="28"/>
  <c r="BO7" i="28"/>
  <c r="BO8" i="28"/>
  <c r="BO10" i="28"/>
  <c r="BO11" i="28"/>
  <c r="CO42" i="28"/>
  <c r="CR36" i="28"/>
  <c r="CO36" i="28"/>
  <c r="CR16" i="28" l="1"/>
  <c r="CR34" i="28" s="1"/>
  <c r="CA93" i="28"/>
  <c r="CA75" i="28"/>
  <c r="AO13" i="28"/>
  <c r="AP10" i="28"/>
  <c r="AQ8" i="28" s="1"/>
  <c r="CP53" i="28"/>
  <c r="CO16" i="28"/>
  <c r="CQ16" i="28"/>
  <c r="CP16" i="28"/>
  <c r="B4" i="28"/>
  <c r="CR23" i="28"/>
  <c r="CP23" i="28"/>
  <c r="CQ23" i="28"/>
  <c r="CO23" i="28"/>
  <c r="CD114" i="28" l="1"/>
  <c r="CC114" i="28"/>
  <c r="CB114" i="28"/>
  <c r="BX4" i="28"/>
  <c r="BW4" i="28"/>
  <c r="BM4" i="28"/>
  <c r="CO17" i="28" l="1"/>
  <c r="CR25" i="28"/>
  <c r="CQ22" i="28"/>
  <c r="CR17" i="28"/>
  <c r="CQ40" i="28"/>
  <c r="CO22" i="28"/>
  <c r="CR40" i="28"/>
  <c r="CR22" i="28"/>
  <c r="CQ34" i="28"/>
  <c r="CP25" i="28"/>
  <c r="CP22" i="28"/>
  <c r="CP17" i="28"/>
  <c r="CO40" i="28"/>
  <c r="CQ25" i="28"/>
  <c r="CQ17" i="28"/>
  <c r="CQ35" i="28" s="1"/>
  <c r="CP40" i="28"/>
  <c r="CP34" i="28"/>
  <c r="CO25" i="28"/>
  <c r="CP35" i="28" l="1"/>
  <c r="CO34" i="28"/>
  <c r="CO35" i="28"/>
  <c r="CR35" i="28"/>
  <c r="CR20" i="28" l="1"/>
  <c r="CO20" i="28" l="1"/>
  <c r="CP20" i="28"/>
  <c r="CP38" i="28" s="1"/>
  <c r="B12" i="28"/>
  <c r="CQ20" i="28"/>
  <c r="CQ38" i="28" s="1"/>
  <c r="B24" i="28"/>
  <c r="C20" i="28"/>
  <c r="C19" i="28"/>
  <c r="B21" i="28"/>
  <c r="B15" i="28"/>
  <c r="B18" i="28"/>
  <c r="CP37" i="28"/>
  <c r="CQ37" i="28"/>
  <c r="CO29" i="28" l="1"/>
  <c r="AO12" i="28"/>
  <c r="CR45" i="28"/>
  <c r="CO45" i="28"/>
  <c r="CQ47" i="28"/>
  <c r="CR47" i="28"/>
  <c r="CP45" i="28"/>
  <c r="CQ45" i="28"/>
  <c r="CO47" i="28"/>
  <c r="CP47" i="28"/>
  <c r="B25" i="28"/>
  <c r="B17" i="28"/>
  <c r="B14" i="28"/>
  <c r="B22" i="28"/>
  <c r="B16" i="28"/>
  <c r="B23" i="28"/>
  <c r="C17" i="28"/>
  <c r="D16" i="28" s="1"/>
  <c r="D19" i="28" s="1"/>
  <c r="D20" i="28" s="1"/>
  <c r="B19" i="28"/>
  <c r="B20" i="28" s="1"/>
  <c r="D17" i="28"/>
  <c r="D22" i="28" s="1"/>
  <c r="C16" i="28"/>
  <c r="CR29" i="28"/>
  <c r="CP29" i="28"/>
  <c r="CP27" i="28"/>
  <c r="CO27" i="28"/>
  <c r="CQ27" i="28"/>
  <c r="CQ29" i="28"/>
  <c r="CR27" i="28"/>
  <c r="CR38" i="28"/>
  <c r="CO37" i="28"/>
  <c r="CO38" i="28"/>
  <c r="B27" i="28" l="1"/>
  <c r="B29" i="28"/>
  <c r="C27" i="28"/>
  <c r="C28" i="28" s="1"/>
  <c r="C25" i="28"/>
  <c r="C26" i="28" s="1"/>
  <c r="D23" i="28"/>
  <c r="D25" i="28" s="1"/>
  <c r="D27" i="28" s="1"/>
  <c r="D29" i="28" s="1"/>
  <c r="CS67" i="28" l="1"/>
  <c r="C29" i="28"/>
  <c r="C30" i="28" s="1"/>
</calcChain>
</file>

<file path=xl/sharedStrings.xml><?xml version="1.0" encoding="utf-8"?>
<sst xmlns="http://schemas.openxmlformats.org/spreadsheetml/2006/main" count="250" uniqueCount="176">
  <si>
    <t>Colombia</t>
  </si>
  <si>
    <t>Ecuador</t>
  </si>
  <si>
    <t>FOB</t>
  </si>
  <si>
    <t>Nicaragua</t>
  </si>
  <si>
    <t>Panama</t>
  </si>
  <si>
    <t>Peru</t>
  </si>
  <si>
    <t>Dominican Republic</t>
  </si>
  <si>
    <t>Type of banana</t>
  </si>
  <si>
    <t>conventional Fairtrade banana</t>
  </si>
  <si>
    <t>organic Fairtrade banana</t>
  </si>
  <si>
    <t>Fairtrade Minimum Price</t>
  </si>
  <si>
    <t>Special carton box</t>
  </si>
  <si>
    <t>without including</t>
  </si>
  <si>
    <t>Ex Works</t>
  </si>
  <si>
    <t>Price level</t>
  </si>
  <si>
    <t>COUNTRY</t>
  </si>
  <si>
    <t>VAT or w/o VAT</t>
  </si>
  <si>
    <t>Choose banana producer country:</t>
  </si>
  <si>
    <t>Choose type of Fairtrade banana:</t>
  </si>
  <si>
    <t xml:space="preserve"> </t>
  </si>
  <si>
    <t>PLEASE COMPLETE EMPTY CELLS WITH THE INFORMATION OF THE PACKING BOX YOU WANT TO RUN THE PRO-RATA</t>
  </si>
  <si>
    <t>Standard carton box (Fairtrade)</t>
  </si>
  <si>
    <t>Prorate</t>
  </si>
  <si>
    <t>Please NOTE THAT the prorate examples ARE ONLY BASED on the variation of: a) the weight of fruit per box and b) the price of the type of packing box. ADDITIONAL COSTS, or PRICE VARIATIONS OF EXISTING INPUTS, might be also involved; for prorating them the Fairtrade Standards for Fresh Fruits must always apply.</t>
  </si>
  <si>
    <t>Elija el país productor de banano:</t>
  </si>
  <si>
    <t>Elija el tipo de banano Fairtrade:</t>
  </si>
  <si>
    <t>Precio Mínimo Fairtrade</t>
  </si>
  <si>
    <t>Caja de cartón especial</t>
  </si>
  <si>
    <t>Prorrateo</t>
  </si>
  <si>
    <t>Caja de cartón estándar (Fairtrade)</t>
  </si>
  <si>
    <t>Caja IFCO</t>
  </si>
  <si>
    <t>Tenga en cuenta que los ejemplos de prorrateo SE BASAN ÚNICAMENTE en la variación de: a) el peso de la fruta por caja y b) el precio de la caja que depende el material de empaque que tenga la caja. También puede haber costes adicionales o variaciones de precio de los insumos existentes; para prorratearlos deben aplicarse siempre los Criterios de Comercio Justo Fairtrade para Frutas Frescas.</t>
  </si>
  <si>
    <t>sin incluir</t>
  </si>
  <si>
    <t>banano Fairtrade convencional</t>
  </si>
  <si>
    <t xml:space="preserve">banano Fairtrade orgánico </t>
  </si>
  <si>
    <t>Caja de cartón estándar</t>
  </si>
  <si>
    <t>Panamá</t>
  </si>
  <si>
    <t>Perú</t>
  </si>
  <si>
    <t>República Dominicana</t>
  </si>
  <si>
    <t>Pérou</t>
  </si>
  <si>
    <t>Colombie</t>
  </si>
  <si>
    <t>Équateur</t>
  </si>
  <si>
    <t>République dominicaine</t>
  </si>
  <si>
    <t>Colômbia</t>
  </si>
  <si>
    <t>Equador</t>
  </si>
  <si>
    <t>Nicarágua</t>
  </si>
  <si>
    <t>sem incluir</t>
  </si>
  <si>
    <t>banana convencional de comércio justo</t>
  </si>
  <si>
    <t>banana biológica de comércio justo</t>
  </si>
  <si>
    <t>sans inclure</t>
  </si>
  <si>
    <t>banane conventionnelle du commerce équitable</t>
  </si>
  <si>
    <t>Choisissez le pays producteur de bananes:</t>
  </si>
  <si>
    <t>Choisissez le type de banane du commerce équitable:</t>
  </si>
  <si>
    <t>Escolher país produtor de banana:</t>
  </si>
  <si>
    <t>Escolher o tipo de banana de Comércio Justo:</t>
  </si>
  <si>
    <t>Boîte en carton standard (commerce équitable)</t>
  </si>
  <si>
    <t>Caixa de cartão padrão (Comércio Justo)</t>
  </si>
  <si>
    <t>Preço Mínimo de Comércio Justo</t>
  </si>
  <si>
    <t>Prix minimum du commerce équitable</t>
  </si>
  <si>
    <t>Boîte en carton spéciale</t>
  </si>
  <si>
    <t>Caixa de cartão especial</t>
  </si>
  <si>
    <t>Rateio</t>
  </si>
  <si>
    <t>Répartition</t>
  </si>
  <si>
    <t>Boîte IFCO</t>
  </si>
  <si>
    <t>Caixa IFCO</t>
  </si>
  <si>
    <t>Veuillez noter que les exemples de prorata sont uniquement basés sur la variation : a) du poids des fruits par boîte et b) du prix du type de boîte d'emballage. Des coûts supplémentaires, ou des variations de prix des entrées existantes, peuvent également être impliqués ; pour les calculer au prorata, les standards du commerce équitable pour les fruits frais doivent toujours s'appliquer.</t>
  </si>
  <si>
    <t>Por favor, note que os exemplos pro rata SÓ se baseiam na variação: a) do peso da fruta por caixa e b) do preço do tipo de caixa de embalagem. CUSTOS ADICIONAIS, ou VARIAÇÕES DE PREÇO DE ENTRADAS EXISTENTES, podem também estar envolvidos; para a sua prorrogação devem aplicar-se sempre as Normas de Comércio Justo para Frutas Frescas.</t>
  </si>
  <si>
    <t>POR FAVOR PREENCHA AS CÉLULAS VAZIAS COM A INFORMAÇÃO DA CAIXA DE EMBALAGEM QUE DESEJA FAZER O CÁLCULO PROPORCIONAL</t>
  </si>
  <si>
    <t>VEUILLEZ REMPLIR LES CELLULES VIDES AVEC LES INFORMATIONS RELATIVES À LA BOÎTE D'EMBALLAGE QUE VOUS SOUHAITEZ UTILISER AU PRORATA</t>
  </si>
  <si>
    <t>organic</t>
  </si>
  <si>
    <t>biologique</t>
  </si>
  <si>
    <t>biológica</t>
  </si>
  <si>
    <t>conventional</t>
  </si>
  <si>
    <t>conventionnelle</t>
  </si>
  <si>
    <t>convencional</t>
  </si>
  <si>
    <t>orgánica</t>
  </si>
  <si>
    <t>Choose language/ Elegir idioma/ Choisir la langue/ Escolher idioma:</t>
  </si>
  <si>
    <t>English</t>
  </si>
  <si>
    <t>Português</t>
  </si>
  <si>
    <t>Français</t>
  </si>
  <si>
    <t>banane biologique du commerce équitable</t>
  </si>
  <si>
    <t>TRUE para ocultar texto,
FALSE para mostrar texto</t>
  </si>
  <si>
    <t>si vemos #N/A, confirma que el idioma elegido y el idioma del nombre país no coinciden.
Si vemos un nombre significa que el idioma elegido y el idioma del nombre país coinciden</t>
  </si>
  <si>
    <t>POR FAVOR, COMPLETE LAS CELDAS VACÍAS CON LA INFORMACIÓN DE LA CAJA DE EMPAQUE PARA LA QUE DESEA HACER EL CÁLCULO DEL PRORRATEO</t>
  </si>
  <si>
    <t>Saint Lucia</t>
  </si>
  <si>
    <t>Sainte-Lucie</t>
  </si>
  <si>
    <t>Santa Lúcia</t>
  </si>
  <si>
    <t>Santa Lucía</t>
  </si>
  <si>
    <t>Ghana</t>
  </si>
  <si>
    <t>Cameroon</t>
  </si>
  <si>
    <t>Camerún</t>
  </si>
  <si>
    <t>Cameroun</t>
  </si>
  <si>
    <t>Camarões</t>
  </si>
  <si>
    <t>Gana</t>
  </si>
  <si>
    <t>EN-FR</t>
  </si>
  <si>
    <t>EN-PT</t>
  </si>
  <si>
    <t>EN</t>
  </si>
  <si>
    <t>EN-SP</t>
  </si>
  <si>
    <t>FR-EN</t>
  </si>
  <si>
    <t>FR</t>
  </si>
  <si>
    <t>FR-PT</t>
  </si>
  <si>
    <t>FR-SP</t>
  </si>
  <si>
    <t>PT-EN</t>
  </si>
  <si>
    <t>PT</t>
  </si>
  <si>
    <t>PT-FR</t>
  </si>
  <si>
    <t>PT-SP</t>
  </si>
  <si>
    <t>SP</t>
  </si>
  <si>
    <t>SP-EN</t>
  </si>
  <si>
    <t>SP-FR</t>
  </si>
  <si>
    <t>SP-PT</t>
  </si>
  <si>
    <t>LA TABLA DE ABAJO NO SIRVE</t>
  </si>
  <si>
    <t>Main Port</t>
  </si>
  <si>
    <t>Secondary port</t>
  </si>
  <si>
    <t>Name of main port</t>
  </si>
  <si>
    <t>Moin (CR)</t>
  </si>
  <si>
    <t>Paita</t>
  </si>
  <si>
    <t>Bolivar</t>
  </si>
  <si>
    <t>Tema</t>
  </si>
  <si>
    <t>Manzanillo</t>
  </si>
  <si>
    <t>Corinto</t>
  </si>
  <si>
    <t>Douala</t>
  </si>
  <si>
    <t>Name of the secondary port</t>
  </si>
  <si>
    <t>Caucedo</t>
  </si>
  <si>
    <t>Puerto:</t>
  </si>
  <si>
    <t>Port:</t>
  </si>
  <si>
    <t>Porto:</t>
  </si>
  <si>
    <t>Caja</t>
  </si>
  <si>
    <t>conv</t>
  </si>
  <si>
    <t>org</t>
  </si>
  <si>
    <t>main port</t>
  </si>
  <si>
    <t>secondary port</t>
  </si>
  <si>
    <t>EXW</t>
  </si>
  <si>
    <t>an8</t>
  </si>
  <si>
    <t>an9</t>
  </si>
  <si>
    <t xml:space="preserve">Please re-enter the name of the banana producer country, the type of banana Fairtrade and the name of the port, according with the chose language  </t>
  </si>
  <si>
    <t xml:space="preserve">Veuillez saisir à nouveau le nom du pays producteur de bananes, le type de banane Fairtrade et le nom du port, en fonction de la langue choisie </t>
  </si>
  <si>
    <t xml:space="preserve">Por favor, re-insira o nome do país produtor da banana, o tipo de banana Fairtrade e o nome do porto, de acordo com a língua escolhida  </t>
  </si>
  <si>
    <t xml:space="preserve">Por favor, ingrese el nombre del país productor de banano, el tipo de banano Fairtrade y el nombre del puerto, de acuerdo con el idioma elegido </t>
  </si>
  <si>
    <t>Costs for the use of IFCO crates for the producer trading at FOB level (From the following list only consider those costs incurred by the producer trading at FOB level: rental of IFCO crates, destocking, customs and clearance, transport of IFCO crates to the farm, re stocking of inventory due to loss or damage of IFCO crates, etc.).</t>
  </si>
  <si>
    <t>Coûts liés à l'utilisation des caisses IFCO pour le producteur négociant au niveau FOB (Dans la liste suivante, ne considérez que les coûts encourus par le producteur qui commercialise au niveau FOB: location des caisses IFCO, déstockage, douane et dédouanement, transport des caisses IFCO jusqu'à l'exploitation, réapprovisionnement des stocks en cas de perte ou d'endommagement des caisses IFCO, etc.)</t>
  </si>
  <si>
    <t>Custos de utilização de caixas IFCO para o produtor que comercializa ao nível FOB (Da lista que se segue, considerar apenas os custos incorridos pelo produtor que comercializa ao nível FOB: aluguer de caixas IFCO, desarmazenagem, alfândegas e desalfandegamento, transporte de caixas IFCO para a unidade de produção, reposição de existências devido a perda ou dano de caixas IFCO, etc.).</t>
  </si>
  <si>
    <t>Costos por uso de cajas IFCO para el productor que comercializa a nivel FOB (De la siguiente lista considere solamente aquellos costos incurridos por el productor que comercializa a nivel FOB: arriendo de cajas IFCO, desalmacenaje, nacionalización, transporte de cajas IFCO a la finca, reposición de inventario por pédidas o daño de cajas IFCO, etc)</t>
  </si>
  <si>
    <t>Costs for the use of IFCO crates for the producer trading at Ex Works level (From the following list only consider those costs incurred by the producer trading at Ex Works level: rental of IFCO crates, destocking, customs and clearance, transport of IFCO crates to the farm, re stocking of inventory due to loss or damage of IFCO crates, etc.).</t>
  </si>
  <si>
    <t>Coûts liés à l'utilisation des caisses IFCO pour le producteur négociant au niveau Ex Works (Dans la liste suivante, ne considérez que les coûts encourus par le producteur qui commercialise au niveau Ex Works: location des caisses IFCO, déstockage, douane et dédouanement, transport des caisses IFCO jusqu'à l'exploitation, réapprovisionnement des stocks en cas de perte ou d'endommagement des caisses IFCO, etc.)</t>
  </si>
  <si>
    <t>Custos de utilização de caixas IFCO para o produtor que comercializa ao nível Ex Works (Da lista que se segue, considerar apenas os custos incorridos pelo produtor que comercializa ao nível Ex Works: aluguer de caixas IFCO, desarmazenagem, alfândegas e desalfandegamento, transporte de caixas IFCO para a unidade de produção, reposição de existências devido a perda ou dano de caixas IFCO, etc.).</t>
  </si>
  <si>
    <t>Costos por uso de cajas IFCO para el productor que comercializa a nivel Ex Works (De la siguiente lista considere solamente aquellos costos incurridos por el productor que comercializa a nivel Ex Works: arriendo de cajas IFCO, desalmacenaje, nacionalización, transporte de cajas IFCO a la finca, reposición de inventario por pédidas o daño de cajas IFCO, etc)</t>
  </si>
  <si>
    <t>IFCO crate</t>
  </si>
  <si>
    <t>#N/A significa que no existe convencional</t>
  </si>
  <si>
    <t>FMP existente:</t>
  </si>
  <si>
    <t>Prorateo solicitado:</t>
  </si>
  <si>
    <t>TRUE significa que solo falta completar el nombre del puerto</t>
  </si>
  <si>
    <t>main</t>
  </si>
  <si>
    <t>secondary</t>
  </si>
  <si>
    <t>min</t>
  </si>
  <si>
    <t>second</t>
  </si>
  <si>
    <t>Moin (CR)/Cortez (HN)</t>
  </si>
  <si>
    <t>Guayaquil (arriving to port from Machala)</t>
  </si>
  <si>
    <t>Guayaquil/Posorja (arriving to port from Santa Elena)</t>
  </si>
  <si>
    <t>Guayaquil (llegando a puerto desde Machala)</t>
  </si>
  <si>
    <t>Guayaquil/Posorja (llegando a puerto desde Santa Elena)</t>
  </si>
  <si>
    <t>Guayaquil (arrivée au port de Machala)</t>
  </si>
  <si>
    <t>Guayaquil/Posorja (arrivant au port de Santa Elena)</t>
  </si>
  <si>
    <t>Guayaquil (chegada ao porto desde Machala)</t>
  </si>
  <si>
    <t>Guayaquil/Posorja (chegada ao porto desde Santa Elena)</t>
  </si>
  <si>
    <t>listado de puertos</t>
  </si>
  <si>
    <t>perdida o dano de materiales lo eliminamos por la siguiente razón: el carton estandar de dana por el tipo de material, se deteriora faacilmente, humedad, etc se tiene estadistica confiable para perdida dano de 0.5% del total de cajas. La caja IFCO se dana por manejo, no sabemos aun que porcentaje se puede danar, se necesita más estadistica para poder definir un porcentaje de pérdida</t>
  </si>
  <si>
    <t>" C O N S I D E R E   S O L A M E N T E   A Q U E L L O S   C O S T O S   I N C U R R I D O S   P O R   E L   P R O D U C T O R "</t>
  </si>
  <si>
    <t>" C O N S I D E R   O N L Y   T H O S E   C O S T S   I N C U R R E D   B Y   T H E   P R O D U C E R "</t>
  </si>
  <si>
    <t>" N E   C O N S I D E R E R   Q U E   L E S   C O U T S   S U P P O R T E S   P A R   L E   P R O D U C T E U R "</t>
  </si>
  <si>
    <t>" C O N S I D E R A R   A P E N A S   O S   C U S T O S   I N C O R R I D O S   P E L O   P R O D U C E R "</t>
  </si>
  <si>
    <t>The tool prorates the Fairtrade Minimum Prices of the standard 18.14 kg cardboard box to a special cardboard box (of a weight in kilos and a price, to be indicated by the user in the empty cells of the spreadsheet).</t>
  </si>
  <si>
    <t>L'outil répartit les prix minimums du commerce équitable entre le carton standard de 18.14 kg et un carton spécial (d'un poids en kilos et d'un prix, à indiquer par l'utilisateur dans les cellules vides du formulaire).</t>
  </si>
  <si>
    <t>A ferramenta reparte os Preços Mínimos de Comércio Justo da caixa normalizada de 18.14 kg para uma caixa especial (com um peso em quilos e um preço, a indicar pelo utilizador nas células vazias do formulário).</t>
  </si>
  <si>
    <t>La herramienta prorratea los Precios Mínimos Fairtrade de la caja de cartón estándar de 18.14 kg a una caja de cartón especial (de un peso en kilos y un precio, que deben ser indicados por el usuario en las celdas vacías del formulario).</t>
  </si>
  <si>
    <r>
      <t>Espa</t>
    </r>
    <r>
      <rPr>
        <sz val="11"/>
        <color theme="0"/>
        <rFont val="Calibri"/>
        <family val="2"/>
      </rPr>
      <t>ñ</t>
    </r>
    <r>
      <rPr>
        <sz val="11"/>
        <color theme="0"/>
        <rFont val="Calibri"/>
        <family val="2"/>
        <scheme val="minor"/>
      </rPr>
      <t>ol</t>
    </r>
  </si>
  <si>
    <r>
      <t xml:space="preserve">Costos por uso de cajas IFCO para el productor que comercializa a nivel FOB (De la siguiente lista </t>
    </r>
    <r>
      <rPr>
        <b/>
        <sz val="11"/>
        <color theme="0"/>
        <rFont val="Calibri"/>
        <family val="2"/>
        <scheme val="minor"/>
      </rPr>
      <t>"considere solamente aquellos costos incurridos por el productor"</t>
    </r>
    <r>
      <rPr>
        <sz val="11"/>
        <color theme="0"/>
        <rFont val="Calibri"/>
        <family val="2"/>
        <scheme val="minor"/>
      </rPr>
      <t xml:space="preserve"> que comercializa a nivel FOB: arriendo de cajas IFCO, desalmacenaje, nacionalización, transporte de cajas IFCO a la finca,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</si>
</sst>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1"/>
      <name val="Calibri"/>
      <family val="2"/>
      <scheme val="minor"/>
    </font>
    <font>
      <b/>
      <sz val="14"/>
      <color rgb="FFFF0000"/>
      <name val="Calibri"/>
      <family val="2"/>
      <scheme val="minor"/>
    </font>
    <font>
      <b/>
      <sz val="14"/>
      <color rgb="FF0088EE"/>
      <name val="Calibri"/>
      <family val="2"/>
      <scheme val="minor"/>
    </font>
    <font>
      <b/>
      <sz val="12"/>
      <color rgb="FF0088EE"/>
      <name val="Calibri"/>
      <family val="2"/>
      <scheme val="minor"/>
    </font>
    <font>
      <b/>
      <sz val="20"/>
      <color theme="1"/>
      <name val="Calibri"/>
      <family val="2"/>
      <scheme val="minor"/>
    </font>
    <font>
      <b/>
      <sz val="12"/>
      <color theme="0"/>
      <name val="Calibri"/>
      <family val="2"/>
      <scheme val="minor"/>
    </font>
    <font>
      <b/>
      <sz val="20"/>
      <color theme="0"/>
      <name val="Calibri Light"/>
      <family val="2"/>
      <scheme val="major"/>
    </font>
    <font>
      <b/>
      <sz val="12"/>
      <color theme="9" tint="-0.249977111117893"/>
      <name val="Calibri"/>
      <family val="2"/>
      <scheme val="minor"/>
    </font>
    <font>
      <sz val="20"/>
      <color theme="1"/>
      <name val="Arial Black"/>
      <family val="2"/>
    </font>
    <font>
      <b/>
      <sz val="16"/>
      <color theme="7"/>
      <name val="Calibri"/>
      <family val="2"/>
      <scheme val="minor"/>
    </font>
    <font>
      <b/>
      <sz val="15"/>
      <color theme="1"/>
      <name val="Calibri"/>
      <family val="2"/>
      <scheme val="minor"/>
    </font>
    <font>
      <sz val="10"/>
      <color theme="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9"/>
      <color theme="0"/>
      <name val="Calibri"/>
      <family val="2"/>
      <scheme val="minor"/>
    </font>
    <font>
      <b/>
      <sz val="9"/>
      <color theme="0"/>
      <name val="Calibri"/>
      <family val="2"/>
      <scheme val="minor"/>
    </font>
    <font>
      <sz val="7"/>
      <color theme="0"/>
      <name val="Calibri"/>
      <family val="2"/>
      <scheme val="minor"/>
    </font>
    <font>
      <b/>
      <sz val="7"/>
      <color theme="0"/>
      <name val="Calibri"/>
      <family val="2"/>
      <scheme val="minor"/>
    </font>
    <font>
      <sz val="11"/>
      <color theme="0"/>
      <name val="Calibri"/>
      <family val="2"/>
    </font>
    <font>
      <b/>
      <sz val="20"/>
      <color theme="0"/>
      <name val="Calibri"/>
      <family val="2"/>
      <scheme val="minor"/>
    </font>
    <font>
      <sz val="12"/>
      <color theme="0"/>
      <name val="Calibri"/>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style="medium">
        <color auto="1"/>
      </left>
      <right style="thin">
        <color auto="1"/>
      </right>
      <top/>
      <bottom style="thin">
        <color auto="1"/>
      </bottom>
      <diagonal/>
    </border>
    <border>
      <left style="medium">
        <color auto="1"/>
      </left>
      <right style="thin">
        <color auto="1"/>
      </right>
      <top/>
      <bottom style="medium">
        <color indexed="64"/>
      </bottom>
      <diagonal/>
    </border>
    <border>
      <left style="medium">
        <color auto="1"/>
      </left>
      <right style="thin">
        <color auto="1"/>
      </right>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auto="1"/>
      </bottom>
      <diagonal/>
    </border>
    <border>
      <left style="medium">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112">
    <xf numFmtId="0" fontId="0" fillId="0" borderId="0" xfId="0"/>
    <xf numFmtId="0" fontId="0" fillId="2" borderId="0" xfId="0" applyFill="1" applyProtection="1">
      <protection hidden="1"/>
    </xf>
    <xf numFmtId="2" fontId="6" fillId="2" borderId="1" xfId="0" applyNumberFormat="1" applyFont="1" applyFill="1" applyBorder="1" applyAlignment="1" applyProtection="1">
      <alignment vertical="top"/>
      <protection locked="0" hidden="1"/>
    </xf>
    <xf numFmtId="2" fontId="6" fillId="2" borderId="7" xfId="0" applyNumberFormat="1" applyFont="1" applyFill="1" applyBorder="1" applyAlignment="1" applyProtection="1">
      <alignment vertical="top"/>
      <protection locked="0" hidden="1"/>
    </xf>
    <xf numFmtId="0" fontId="0" fillId="2" borderId="0" xfId="0" applyFill="1" applyAlignment="1" applyProtection="1">
      <alignment wrapText="1"/>
      <protection hidden="1"/>
    </xf>
    <xf numFmtId="0" fontId="1" fillId="3" borderId="9" xfId="0" applyFont="1" applyFill="1" applyBorder="1" applyAlignment="1" applyProtection="1">
      <alignment vertical="top" wrapText="1"/>
      <protection hidden="1"/>
    </xf>
    <xf numFmtId="0" fontId="4" fillId="3" borderId="8" xfId="0" applyFont="1" applyFill="1" applyBorder="1" applyAlignment="1" applyProtection="1">
      <alignment horizontal="center" vertical="top" wrapText="1"/>
      <protection hidden="1"/>
    </xf>
    <xf numFmtId="0" fontId="4" fillId="3" borderId="5" xfId="0" applyFont="1" applyFill="1" applyBorder="1" applyAlignment="1" applyProtection="1">
      <alignment horizontal="center" vertical="top"/>
      <protection hidden="1"/>
    </xf>
    <xf numFmtId="0" fontId="2" fillId="3" borderId="9" xfId="0" quotePrefix="1" applyFont="1" applyFill="1" applyBorder="1" applyAlignment="1" applyProtection="1">
      <alignment horizontal="left" vertical="top" wrapText="1" indent="2"/>
      <protection hidden="1"/>
    </xf>
    <xf numFmtId="0" fontId="2" fillId="3" borderId="5" xfId="0" applyFont="1" applyFill="1" applyBorder="1" applyAlignment="1" applyProtection="1">
      <alignment vertical="top"/>
      <protection hidden="1"/>
    </xf>
    <xf numFmtId="0" fontId="2" fillId="3" borderId="17" xfId="0" quotePrefix="1" applyFont="1" applyFill="1" applyBorder="1" applyAlignment="1" applyProtection="1">
      <alignment horizontal="left" vertical="top" wrapText="1" indent="2"/>
      <protection hidden="1"/>
    </xf>
    <xf numFmtId="0" fontId="2" fillId="3" borderId="13" xfId="0" applyFont="1" applyFill="1" applyBorder="1" applyAlignment="1" applyProtection="1">
      <alignment vertical="top"/>
      <protection hidden="1"/>
    </xf>
    <xf numFmtId="0" fontId="4" fillId="3" borderId="9" xfId="0" quotePrefix="1" applyFont="1" applyFill="1" applyBorder="1" applyAlignment="1" applyProtection="1">
      <alignment vertical="top" wrapText="1"/>
      <protection hidden="1"/>
    </xf>
    <xf numFmtId="2" fontId="2" fillId="3" borderId="8" xfId="0" applyNumberFormat="1" applyFont="1" applyFill="1" applyBorder="1" applyAlignment="1" applyProtection="1">
      <alignment horizontal="right" vertical="top" wrapText="1"/>
      <protection hidden="1"/>
    </xf>
    <xf numFmtId="0" fontId="4" fillId="3" borderId="9" xfId="0" quotePrefix="1" applyFont="1" applyFill="1" applyBorder="1" applyAlignment="1" applyProtection="1">
      <alignment horizontal="left" vertical="top" wrapText="1"/>
      <protection hidden="1"/>
    </xf>
    <xf numFmtId="0" fontId="2" fillId="3" borderId="12" xfId="0" quotePrefix="1" applyFont="1" applyFill="1" applyBorder="1" applyAlignment="1" applyProtection="1">
      <alignment horizontal="left" vertical="top" wrapText="1" indent="2"/>
      <protection hidden="1"/>
    </xf>
    <xf numFmtId="0" fontId="2" fillId="3" borderId="10" xfId="0" quotePrefix="1" applyFont="1" applyFill="1" applyBorder="1" applyAlignment="1" applyProtection="1">
      <alignment horizontal="left" vertical="top" wrapText="1" indent="2"/>
      <protection hidden="1"/>
    </xf>
    <xf numFmtId="0" fontId="4" fillId="3" borderId="12" xfId="0" quotePrefix="1" applyFont="1" applyFill="1" applyBorder="1" applyAlignment="1" applyProtection="1">
      <alignment horizontal="left" vertical="top" wrapText="1"/>
      <protection hidden="1"/>
    </xf>
    <xf numFmtId="0" fontId="4" fillId="3" borderId="5" xfId="0" applyFont="1" applyFill="1" applyBorder="1" applyProtection="1">
      <protection hidden="1"/>
    </xf>
    <xf numFmtId="0" fontId="2" fillId="3" borderId="6" xfId="0" applyFont="1" applyFill="1" applyBorder="1" applyAlignment="1" applyProtection="1">
      <alignment vertical="top"/>
      <protection hidden="1"/>
    </xf>
    <xf numFmtId="2" fontId="6" fillId="3" borderId="8" xfId="0" applyNumberFormat="1" applyFont="1" applyFill="1" applyBorder="1" applyAlignment="1" applyProtection="1">
      <alignment vertical="top"/>
      <protection hidden="1"/>
    </xf>
    <xf numFmtId="2" fontId="4" fillId="3" borderId="8" xfId="0" applyNumberFormat="1" applyFont="1" applyFill="1" applyBorder="1" applyProtection="1">
      <protection hidden="1"/>
    </xf>
    <xf numFmtId="0" fontId="0" fillId="3" borderId="8" xfId="0" quotePrefix="1" applyFill="1" applyBorder="1" applyAlignment="1" applyProtection="1">
      <alignment vertical="top"/>
      <protection hidden="1"/>
    </xf>
    <xf numFmtId="0" fontId="0" fillId="3" borderId="15" xfId="0" quotePrefix="1" applyFill="1" applyBorder="1" applyAlignment="1" applyProtection="1">
      <alignment vertical="top"/>
      <protection hidden="1"/>
    </xf>
    <xf numFmtId="0" fontId="5" fillId="4" borderId="16" xfId="0" applyFont="1" applyFill="1" applyBorder="1" applyAlignment="1" applyProtection="1">
      <alignment horizontal="center" vertical="top" wrapText="1"/>
      <protection hidden="1"/>
    </xf>
    <xf numFmtId="0" fontId="8" fillId="4" borderId="0" xfId="0" applyFont="1" applyFill="1" applyAlignment="1" applyProtection="1">
      <alignment horizontal="center" vertical="center" wrapText="1"/>
      <protection hidden="1"/>
    </xf>
    <xf numFmtId="0" fontId="9" fillId="4" borderId="0" xfId="0" applyFont="1" applyFill="1" applyAlignment="1" applyProtection="1">
      <alignment horizontal="right"/>
      <protection hidden="1"/>
    </xf>
    <xf numFmtId="0" fontId="0" fillId="4" borderId="18" xfId="0" applyFill="1" applyBorder="1" applyProtection="1">
      <protection hidden="1"/>
    </xf>
    <xf numFmtId="0" fontId="0" fillId="4" borderId="20" xfId="0" applyFill="1" applyBorder="1" applyProtection="1">
      <protection hidden="1"/>
    </xf>
    <xf numFmtId="0" fontId="0" fillId="4" borderId="9" xfId="0" applyFill="1" applyBorder="1" applyProtection="1">
      <protection hidden="1"/>
    </xf>
    <xf numFmtId="0" fontId="0" fillId="4" borderId="5" xfId="0" applyFill="1" applyBorder="1" applyProtection="1">
      <protection hidden="1"/>
    </xf>
    <xf numFmtId="0" fontId="0" fillId="4" borderId="21" xfId="0" applyFill="1" applyBorder="1" applyProtection="1">
      <protection hidden="1"/>
    </xf>
    <xf numFmtId="0" fontId="0" fillId="4" borderId="16" xfId="0" applyFill="1" applyBorder="1" applyAlignment="1" applyProtection="1">
      <alignment wrapText="1"/>
      <protection hidden="1"/>
    </xf>
    <xf numFmtId="0" fontId="0" fillId="4" borderId="16" xfId="0" applyFill="1" applyBorder="1" applyProtection="1">
      <protection hidden="1"/>
    </xf>
    <xf numFmtId="0" fontId="0" fillId="4" borderId="6" xfId="0" applyFill="1" applyBorder="1" applyProtection="1">
      <protection hidden="1"/>
    </xf>
    <xf numFmtId="0" fontId="0" fillId="2" borderId="0" xfId="0" applyFill="1" applyAlignment="1" applyProtection="1">
      <alignment vertical="top" wrapText="1"/>
      <protection hidden="1"/>
    </xf>
    <xf numFmtId="0" fontId="11" fillId="4" borderId="0" xfId="0" applyFont="1" applyFill="1" applyAlignment="1" applyProtection="1">
      <alignment horizontal="left"/>
      <protection hidden="1"/>
    </xf>
    <xf numFmtId="0" fontId="11" fillId="4" borderId="0" xfId="0" applyFont="1" applyFill="1" applyAlignment="1" applyProtection="1">
      <alignment horizontal="right"/>
      <protection hidden="1"/>
    </xf>
    <xf numFmtId="0" fontId="0" fillId="3" borderId="18" xfId="0" applyFill="1" applyBorder="1" applyProtection="1">
      <protection hidden="1"/>
    </xf>
    <xf numFmtId="0" fontId="0" fillId="3" borderId="19" xfId="0" applyFill="1" applyBorder="1" applyAlignment="1" applyProtection="1">
      <alignment wrapText="1"/>
      <protection hidden="1"/>
    </xf>
    <xf numFmtId="0" fontId="0" fillId="3" borderId="19" xfId="0" applyFill="1" applyBorder="1" applyProtection="1">
      <protection hidden="1"/>
    </xf>
    <xf numFmtId="0" fontId="0" fillId="3" borderId="20" xfId="0" applyFill="1" applyBorder="1" applyProtection="1">
      <protection hidden="1"/>
    </xf>
    <xf numFmtId="0" fontId="0" fillId="3" borderId="9" xfId="0" applyFill="1" applyBorder="1" applyProtection="1">
      <protection hidden="1"/>
    </xf>
    <xf numFmtId="0" fontId="0" fillId="3" borderId="0" xfId="0" applyFill="1" applyProtection="1">
      <protection hidden="1"/>
    </xf>
    <xf numFmtId="0" fontId="0" fillId="3" borderId="5" xfId="0" applyFill="1" applyBorder="1" applyProtection="1">
      <protection hidden="1"/>
    </xf>
    <xf numFmtId="0" fontId="0" fillId="3" borderId="21" xfId="0" applyFill="1" applyBorder="1" applyProtection="1">
      <protection hidden="1"/>
    </xf>
    <xf numFmtId="0" fontId="0" fillId="3" borderId="16" xfId="0" applyFill="1" applyBorder="1" applyAlignment="1" applyProtection="1">
      <alignment wrapText="1"/>
      <protection hidden="1"/>
    </xf>
    <xf numFmtId="0" fontId="0" fillId="3" borderId="16" xfId="0" applyFill="1" applyBorder="1" applyProtection="1">
      <protection hidden="1"/>
    </xf>
    <xf numFmtId="0" fontId="0" fillId="3" borderId="6" xfId="0" applyFill="1" applyBorder="1" applyProtection="1">
      <protection hidden="1"/>
    </xf>
    <xf numFmtId="0" fontId="14" fillId="3" borderId="0" xfId="0" applyFont="1" applyFill="1" applyAlignment="1" applyProtection="1">
      <alignment vertical="center"/>
      <protection hidden="1"/>
    </xf>
    <xf numFmtId="0" fontId="12" fillId="2" borderId="24" xfId="0" applyFont="1" applyFill="1" applyBorder="1" applyAlignment="1" applyProtection="1">
      <alignment horizontal="center" vertical="center" wrapText="1"/>
      <protection locked="0" hidden="1"/>
    </xf>
    <xf numFmtId="2" fontId="0" fillId="3" borderId="8" xfId="0" applyNumberFormat="1" applyFill="1" applyBorder="1" applyAlignment="1" applyProtection="1">
      <alignment vertical="top"/>
      <protection hidden="1"/>
    </xf>
    <xf numFmtId="0" fontId="0" fillId="3" borderId="5" xfId="0" applyFill="1" applyBorder="1" applyAlignment="1" applyProtection="1">
      <alignment vertical="top"/>
      <protection hidden="1"/>
    </xf>
    <xf numFmtId="2" fontId="0" fillId="3" borderId="14" xfId="0" applyNumberFormat="1" applyFill="1" applyBorder="1" applyAlignment="1" applyProtection="1">
      <alignment vertical="top"/>
      <protection hidden="1"/>
    </xf>
    <xf numFmtId="0" fontId="0" fillId="3" borderId="13" xfId="0" applyFill="1" applyBorder="1" applyAlignment="1" applyProtection="1">
      <alignment vertical="top"/>
      <protection hidden="1"/>
    </xf>
    <xf numFmtId="2" fontId="0" fillId="3" borderId="8" xfId="0" applyNumberFormat="1" applyFill="1" applyBorder="1" applyAlignment="1" applyProtection="1">
      <alignment horizontal="right" vertical="top" wrapText="1"/>
      <protection hidden="1"/>
    </xf>
    <xf numFmtId="2" fontId="0" fillId="3" borderId="14" xfId="0" quotePrefix="1" applyNumberFormat="1" applyFill="1" applyBorder="1" applyAlignment="1" applyProtection="1">
      <alignment horizontal="right" vertical="top" wrapText="1"/>
      <protection hidden="1"/>
    </xf>
    <xf numFmtId="0" fontId="15" fillId="2" borderId="0" xfId="0" applyFont="1" applyFill="1" applyProtection="1">
      <protection locked="0"/>
    </xf>
    <xf numFmtId="4" fontId="15" fillId="2" borderId="0" xfId="0" applyNumberFormat="1" applyFont="1" applyFill="1" applyProtection="1">
      <protection locked="0"/>
    </xf>
    <xf numFmtId="2" fontId="15" fillId="2" borderId="0" xfId="0" applyNumberFormat="1" applyFont="1" applyFill="1" applyProtection="1">
      <protection locked="0"/>
    </xf>
    <xf numFmtId="0" fontId="15" fillId="2" borderId="0" xfId="0" quotePrefix="1" applyFont="1" applyFill="1" applyProtection="1">
      <protection locked="0"/>
    </xf>
    <xf numFmtId="0" fontId="16" fillId="2" borderId="0" xfId="0" applyFont="1" applyFill="1" applyProtection="1">
      <protection locked="0"/>
    </xf>
    <xf numFmtId="0" fontId="18" fillId="2" borderId="0" xfId="0" applyFont="1" applyFill="1" applyProtection="1">
      <protection hidden="1"/>
    </xf>
    <xf numFmtId="0" fontId="18" fillId="2" borderId="0" xfId="0" applyFont="1" applyFill="1" applyAlignment="1" applyProtection="1">
      <alignment vertical="top"/>
      <protection hidden="1"/>
    </xf>
    <xf numFmtId="0" fontId="19" fillId="2" borderId="0" xfId="0" applyFont="1" applyFill="1" applyAlignment="1" applyProtection="1">
      <alignment vertical="top"/>
      <protection hidden="1"/>
    </xf>
    <xf numFmtId="0" fontId="17" fillId="2" borderId="0" xfId="0" applyFont="1" applyFill="1" applyAlignment="1" applyProtection="1">
      <alignment vertical="top"/>
      <protection hidden="1"/>
    </xf>
    <xf numFmtId="0" fontId="17" fillId="2" borderId="0" xfId="0" applyFont="1" applyFill="1" applyAlignment="1" applyProtection="1">
      <alignment horizontal="center"/>
      <protection hidden="1"/>
    </xf>
    <xf numFmtId="0" fontId="20" fillId="2" borderId="0" xfId="0" applyFont="1" applyFill="1" applyAlignment="1" applyProtection="1">
      <alignment vertical="top"/>
      <protection hidden="1"/>
    </xf>
    <xf numFmtId="0" fontId="21" fillId="2" borderId="0" xfId="0" applyFont="1" applyFill="1" applyAlignment="1" applyProtection="1">
      <alignment horizontal="center" vertical="top" wrapText="1"/>
      <protection hidden="1"/>
    </xf>
    <xf numFmtId="0" fontId="21" fillId="2" borderId="0" xfId="0" applyFont="1" applyFill="1" applyAlignment="1" applyProtection="1">
      <alignment vertical="top" wrapText="1"/>
      <protection hidden="1"/>
    </xf>
    <xf numFmtId="0" fontId="20" fillId="2" borderId="0" xfId="0" applyFont="1" applyFill="1" applyAlignment="1" applyProtection="1">
      <alignment vertical="top" wrapText="1"/>
      <protection hidden="1"/>
    </xf>
    <xf numFmtId="0" fontId="18" fillId="2" borderId="0" xfId="0" applyFont="1" applyFill="1" applyAlignment="1" applyProtection="1">
      <alignment vertical="top" wrapText="1"/>
      <protection hidden="1"/>
    </xf>
    <xf numFmtId="0" fontId="18" fillId="2" borderId="0" xfId="0" applyFont="1" applyFill="1" applyAlignment="1" applyProtection="1">
      <alignment horizontal="right" vertical="top"/>
      <protection hidden="1"/>
    </xf>
    <xf numFmtId="0" fontId="22" fillId="2" borderId="0" xfId="0" applyFont="1" applyFill="1" applyAlignment="1" applyProtection="1">
      <alignment vertical="top"/>
      <protection hidden="1"/>
    </xf>
    <xf numFmtId="0" fontId="23" fillId="2" borderId="0" xfId="0" applyFont="1" applyFill="1" applyAlignment="1" applyProtection="1">
      <alignment vertical="top"/>
      <protection hidden="1"/>
    </xf>
    <xf numFmtId="4" fontId="23" fillId="2" borderId="0" xfId="0" applyNumberFormat="1" applyFont="1" applyFill="1" applyAlignment="1" applyProtection="1">
      <alignment vertical="top"/>
      <protection hidden="1"/>
    </xf>
    <xf numFmtId="2" fontId="22" fillId="2" borderId="0" xfId="0" applyNumberFormat="1" applyFont="1" applyFill="1" applyAlignment="1" applyProtection="1">
      <alignment vertical="top"/>
      <protection hidden="1"/>
    </xf>
    <xf numFmtId="0" fontId="18" fillId="2" borderId="0" xfId="0" applyFont="1" applyFill="1" applyAlignment="1" applyProtection="1">
      <alignment wrapText="1"/>
      <protection hidden="1"/>
    </xf>
    <xf numFmtId="0" fontId="20" fillId="2" borderId="0" xfId="0" applyFont="1" applyFill="1" applyProtection="1">
      <protection hidden="1"/>
    </xf>
    <xf numFmtId="0" fontId="17" fillId="2" borderId="0" xfId="0" applyFont="1" applyFill="1" applyProtection="1">
      <protection hidden="1"/>
    </xf>
    <xf numFmtId="0" fontId="18" fillId="2" borderId="0" xfId="0" applyFont="1" applyFill="1" applyAlignment="1" applyProtection="1">
      <alignment vertical="center"/>
      <protection hidden="1"/>
    </xf>
    <xf numFmtId="0" fontId="18" fillId="2" borderId="0" xfId="0" quotePrefix="1" applyFont="1" applyFill="1" applyAlignment="1" applyProtection="1">
      <alignment vertical="center"/>
      <protection hidden="1"/>
    </xf>
    <xf numFmtId="0" fontId="25" fillId="2" borderId="0" xfId="0" applyFont="1" applyFill="1" applyAlignment="1" applyProtection="1">
      <alignment vertical="top"/>
      <protection hidden="1"/>
    </xf>
    <xf numFmtId="0" fontId="21" fillId="2" borderId="0" xfId="0" applyFont="1" applyFill="1" applyAlignment="1" applyProtection="1">
      <alignment vertical="top"/>
      <protection hidden="1"/>
    </xf>
    <xf numFmtId="4" fontId="18" fillId="2" borderId="0" xfId="0" applyNumberFormat="1" applyFont="1" applyFill="1" applyAlignment="1" applyProtection="1">
      <alignment vertical="top"/>
      <protection hidden="1"/>
    </xf>
    <xf numFmtId="0" fontId="18" fillId="2" borderId="0" xfId="0" applyFont="1" applyFill="1" applyAlignment="1" applyProtection="1">
      <alignment horizontal="left" vertical="top"/>
      <protection hidden="1"/>
    </xf>
    <xf numFmtId="0" fontId="18" fillId="2" borderId="0" xfId="0" applyFont="1" applyFill="1" applyAlignment="1" applyProtection="1">
      <alignment horizontal="center" vertical="top"/>
      <protection hidden="1"/>
    </xf>
    <xf numFmtId="0" fontId="18" fillId="2" borderId="0" xfId="0" quotePrefix="1" applyFont="1" applyFill="1" applyAlignment="1" applyProtection="1">
      <alignment vertical="top" wrapText="1"/>
      <protection hidden="1"/>
    </xf>
    <xf numFmtId="0" fontId="18" fillId="2" borderId="0" xfId="0" applyFont="1" applyFill="1" applyAlignment="1" applyProtection="1">
      <alignment horizontal="left" vertical="center"/>
      <protection hidden="1"/>
    </xf>
    <xf numFmtId="0" fontId="26" fillId="2" borderId="0" xfId="0" applyFont="1" applyFill="1" applyAlignment="1" applyProtection="1">
      <alignment vertical="top"/>
      <protection hidden="1"/>
    </xf>
    <xf numFmtId="0" fontId="18" fillId="2" borderId="0" xfId="0" quotePrefix="1" applyFont="1" applyFill="1" applyProtection="1">
      <protection hidden="1"/>
    </xf>
    <xf numFmtId="0" fontId="18" fillId="2" borderId="0" xfId="0" quotePrefix="1" applyFont="1" applyFill="1" applyAlignment="1" applyProtection="1">
      <alignment horizontal="left" vertical="center"/>
      <protection hidden="1"/>
    </xf>
    <xf numFmtId="0" fontId="25" fillId="2" borderId="0" xfId="0" applyFont="1" applyFill="1" applyProtection="1">
      <protection hidden="1"/>
    </xf>
    <xf numFmtId="2" fontId="18" fillId="2" borderId="0" xfId="0" applyNumberFormat="1" applyFont="1" applyFill="1" applyProtection="1">
      <protection hidden="1"/>
    </xf>
    <xf numFmtId="2" fontId="18" fillId="2" borderId="0" xfId="0" applyNumberFormat="1" applyFont="1" applyFill="1" applyAlignment="1" applyProtection="1">
      <alignment vertical="top"/>
      <protection hidden="1"/>
    </xf>
    <xf numFmtId="0" fontId="18" fillId="2" borderId="0" xfId="0" quotePrefix="1" applyFont="1" applyFill="1" applyAlignment="1" applyProtection="1">
      <alignment vertical="top"/>
      <protection hidden="1"/>
    </xf>
    <xf numFmtId="0" fontId="18" fillId="2" borderId="0" xfId="0" quotePrefix="1" applyFont="1" applyFill="1" applyAlignment="1" applyProtection="1">
      <alignment wrapText="1"/>
      <protection hidden="1"/>
    </xf>
    <xf numFmtId="4" fontId="18" fillId="2" borderId="0" xfId="0" applyNumberFormat="1" applyFont="1" applyFill="1" applyProtection="1">
      <protection hidden="1"/>
    </xf>
    <xf numFmtId="0" fontId="17" fillId="2" borderId="0" xfId="0" quotePrefix="1" applyFont="1" applyFill="1" applyProtection="1">
      <protection hidden="1"/>
    </xf>
    <xf numFmtId="0" fontId="0" fillId="2" borderId="0" xfId="0" applyFill="1" applyProtection="1">
      <protection locked="0"/>
    </xf>
    <xf numFmtId="0" fontId="17" fillId="2" borderId="0" xfId="0" applyFont="1" applyFill="1" applyAlignment="1" applyProtection="1">
      <alignment horizontal="center" vertical="top"/>
      <protection hidden="1"/>
    </xf>
    <xf numFmtId="0" fontId="7" fillId="2" borderId="22" xfId="0" applyFont="1" applyFill="1" applyBorder="1" applyAlignment="1" applyProtection="1">
      <alignment horizontal="left"/>
      <protection locked="0" hidden="1"/>
    </xf>
    <xf numFmtId="0" fontId="7" fillId="2" borderId="23" xfId="0" applyFont="1" applyFill="1" applyBorder="1" applyAlignment="1" applyProtection="1">
      <alignment horizontal="left"/>
      <protection locked="0" hidden="1"/>
    </xf>
    <xf numFmtId="0" fontId="7" fillId="2" borderId="1" xfId="0" applyFont="1" applyFill="1" applyBorder="1" applyAlignment="1" applyProtection="1">
      <alignment horizontal="left"/>
      <protection locked="0" hidden="1"/>
    </xf>
    <xf numFmtId="0" fontId="10" fillId="4" borderId="19"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left" vertical="center" wrapText="1" indent="2"/>
      <protection hidden="1"/>
    </xf>
    <xf numFmtId="0" fontId="2" fillId="3" borderId="11" xfId="0" applyFont="1" applyFill="1" applyBorder="1" applyAlignment="1" applyProtection="1">
      <alignment horizontal="left" vertical="center" wrapText="1" indent="2"/>
      <protection hidden="1"/>
    </xf>
    <xf numFmtId="0" fontId="13" fillId="4" borderId="0" xfId="0" applyFont="1" applyFill="1" applyAlignment="1" applyProtection="1">
      <alignment horizontal="center" vertical="top" wrapText="1"/>
      <protection hidden="1"/>
    </xf>
    <xf numFmtId="0" fontId="1" fillId="3" borderId="0" xfId="0" applyFont="1" applyFill="1" applyAlignment="1" applyProtection="1">
      <alignment horizontal="left" vertical="center" wrapText="1"/>
      <protection hidden="1"/>
    </xf>
    <xf numFmtId="0" fontId="9" fillId="4" borderId="2" xfId="0" applyFont="1" applyFill="1" applyBorder="1" applyAlignment="1" applyProtection="1">
      <alignment horizontal="left" vertical="top" wrapText="1"/>
      <protection hidden="1"/>
    </xf>
    <xf numFmtId="0" fontId="9" fillId="4" borderId="3" xfId="0" applyFont="1" applyFill="1" applyBorder="1" applyAlignment="1" applyProtection="1">
      <alignment horizontal="left" vertical="top" wrapText="1"/>
      <protection hidden="1"/>
    </xf>
    <xf numFmtId="0" fontId="9" fillId="4" borderId="4" xfId="0" applyFont="1" applyFill="1" applyBorder="1" applyAlignment="1" applyProtection="1">
      <alignment horizontal="left" vertical="top" wrapText="1"/>
      <protection hidden="1"/>
    </xf>
  </cellXfs>
  <cellStyles count="2">
    <cellStyle name="Normal" xfId="0" builtinId="0"/>
    <cellStyle name="Normal 2" xfId="1" xr:uid="{00000000-0005-0000-0000-000001000000}"/>
  </cellStyles>
  <dxfs count="3">
    <dxf>
      <font>
        <color theme="0"/>
      </font>
    </dxf>
    <dxf>
      <font>
        <color theme="9" tint="0.59996337778862885"/>
      </font>
      <fill>
        <patternFill>
          <bgColor theme="9" tint="0.59996337778862885"/>
        </patternFill>
      </fill>
      <border>
        <right/>
        <top style="thin">
          <color auto="1"/>
        </top>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71C2FF"/>
      <color rgb="FF0088EE"/>
      <color rgb="FFF6F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xdr:row>
      <xdr:rowOff>99037</xdr:rowOff>
    </xdr:from>
    <xdr:to>
      <xdr:col>1</xdr:col>
      <xdr:colOff>492162</xdr:colOff>
      <xdr:row>4</xdr:row>
      <xdr:rowOff>53341</xdr:rowOff>
    </xdr:to>
    <xdr:pic>
      <xdr:nvPicPr>
        <xdr:cNvPr id="2" name="Picture 1" descr="X:\Brand\_Brand_Management\Brand_Strategy\_FINALS\_Collateral\Letterhead_NEW_201403\FBM_INT_VERT_RGB_POS.em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28600" y="99037"/>
          <a:ext cx="501687" cy="577238"/>
        </a:xfrm>
        <a:prstGeom prst="rect">
          <a:avLst/>
        </a:prstGeom>
        <a:noFill/>
        <a:ln w="9525">
          <a:noFill/>
          <a:miter lim="800000"/>
          <a:headEnd/>
          <a:tailEnd/>
        </a:ln>
      </xdr:spPr>
    </xdr:pic>
    <xdr:clientData/>
  </xdr:twoCellAnchor>
  <xdr:twoCellAnchor editAs="oneCell">
    <xdr:from>
      <xdr:col>2</xdr:col>
      <xdr:colOff>396240</xdr:colOff>
      <xdr:row>1</xdr:row>
      <xdr:rowOff>259080</xdr:rowOff>
    </xdr:from>
    <xdr:to>
      <xdr:col>2</xdr:col>
      <xdr:colOff>702556</xdr:colOff>
      <xdr:row>1</xdr:row>
      <xdr:rowOff>441591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l="79558" t="4312" r="3191" b="82752"/>
        <a:stretch/>
      </xdr:blipFill>
      <xdr:spPr>
        <a:xfrm>
          <a:off x="5996940" y="335280"/>
          <a:ext cx="313936" cy="192036"/>
        </a:xfrm>
        <a:prstGeom prst="rect">
          <a:avLst/>
        </a:prstGeom>
      </xdr:spPr>
    </xdr:pic>
    <xdr:clientData/>
  </xdr:twoCellAnchor>
  <xdr:twoCellAnchor editAs="oneCell">
    <xdr:from>
      <xdr:col>2</xdr:col>
      <xdr:colOff>762000</xdr:colOff>
      <xdr:row>0</xdr:row>
      <xdr:rowOff>68580</xdr:rowOff>
    </xdr:from>
    <xdr:to>
      <xdr:col>2</xdr:col>
      <xdr:colOff>1087366</xdr:colOff>
      <xdr:row>1</xdr:row>
      <xdr:rowOff>174891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l="2515" t="29979" r="80234" b="57085"/>
        <a:stretch/>
      </xdr:blipFill>
      <xdr:spPr>
        <a:xfrm>
          <a:off x="6362700" y="68580"/>
          <a:ext cx="313936" cy="192036"/>
        </a:xfrm>
        <a:prstGeom prst="rect">
          <a:avLst/>
        </a:prstGeom>
      </xdr:spPr>
    </xdr:pic>
    <xdr:clientData/>
  </xdr:twoCellAnchor>
  <xdr:twoCellAnchor editAs="oneCell">
    <xdr:from>
      <xdr:col>2</xdr:col>
      <xdr:colOff>762000</xdr:colOff>
      <xdr:row>1</xdr:row>
      <xdr:rowOff>259080</xdr:rowOff>
    </xdr:from>
    <xdr:to>
      <xdr:col>2</xdr:col>
      <xdr:colOff>1087366</xdr:colOff>
      <xdr:row>1</xdr:row>
      <xdr:rowOff>441591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28140" t="55235" r="54609" b="31829"/>
        <a:stretch/>
      </xdr:blipFill>
      <xdr:spPr>
        <a:xfrm>
          <a:off x="6362700" y="335280"/>
          <a:ext cx="313936" cy="192036"/>
        </a:xfrm>
        <a:prstGeom prst="rect">
          <a:avLst/>
        </a:prstGeom>
      </xdr:spPr>
    </xdr:pic>
    <xdr:clientData/>
  </xdr:twoCellAnchor>
  <xdr:twoCellAnchor editAs="oneCell">
    <xdr:from>
      <xdr:col>2</xdr:col>
      <xdr:colOff>396240</xdr:colOff>
      <xdr:row>1</xdr:row>
      <xdr:rowOff>0</xdr:rowOff>
    </xdr:from>
    <xdr:to>
      <xdr:col>2</xdr:col>
      <xdr:colOff>702556</xdr:colOff>
      <xdr:row>1</xdr:row>
      <xdr:rowOff>192036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2347" t="80696" r="80402" b="6368"/>
        <a:stretch/>
      </xdr:blipFill>
      <xdr:spPr>
        <a:xfrm>
          <a:off x="5996940" y="76200"/>
          <a:ext cx="313936" cy="192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W130"/>
  <sheetViews>
    <sheetView showRowColHeaders="0" tabSelected="1" zoomScaleNormal="100" workbookViewId="0">
      <selection activeCell="D2" sqref="D2"/>
    </sheetView>
  </sheetViews>
  <sheetFormatPr defaultColWidth="9.109375" defaultRowHeight="14.4" x14ac:dyDescent="0.3"/>
  <cols>
    <col min="1" max="1" width="3.5546875" style="1" customWidth="1"/>
    <col min="2" max="2" width="99.33203125" style="4" customWidth="1"/>
    <col min="3" max="3" width="22.21875" style="1" customWidth="1"/>
    <col min="4" max="4" width="25.21875" style="1" customWidth="1"/>
    <col min="5" max="5" width="3.6640625" style="1" customWidth="1"/>
    <col min="6" max="37" width="10.6640625" style="57" customWidth="1"/>
    <col min="38" max="39" width="13.6640625" style="99" customWidth="1"/>
    <col min="40" max="40" width="13.6640625" style="62" hidden="1" customWidth="1"/>
    <col min="41" max="41" width="49.109375" style="62" hidden="1" customWidth="1"/>
    <col min="42" max="42" width="13.6640625" style="62" hidden="1" customWidth="1"/>
    <col min="43" max="43" width="13.6640625" style="63" hidden="1" customWidth="1"/>
    <col min="44" max="44" width="19.6640625" style="62" hidden="1" customWidth="1"/>
    <col min="45" max="50" width="13.6640625" style="62" hidden="1" customWidth="1"/>
    <col min="51" max="51" width="51.77734375" style="62" hidden="1" customWidth="1"/>
    <col min="52" max="61" width="13.6640625" style="62" hidden="1" customWidth="1"/>
    <col min="62" max="62" width="35.33203125" style="63" hidden="1" customWidth="1"/>
    <col min="63" max="63" width="14.5546875" style="63" hidden="1" customWidth="1"/>
    <col min="64" max="64" width="8" style="63" hidden="1" customWidth="1"/>
    <col min="65" max="65" width="11.44140625" style="63" hidden="1" customWidth="1"/>
    <col min="66" max="66" width="13.88671875" style="63" hidden="1" customWidth="1"/>
    <col min="67" max="67" width="16.44140625" style="63" hidden="1" customWidth="1"/>
    <col min="68" max="68" width="13.44140625" style="63" hidden="1" customWidth="1"/>
    <col min="69" max="69" width="11.6640625" style="63" hidden="1" customWidth="1"/>
    <col min="70" max="70" width="5.77734375" style="63" hidden="1" customWidth="1"/>
    <col min="71" max="73" width="5.109375" style="63" hidden="1" customWidth="1"/>
    <col min="74" max="74" width="6.109375" style="63" hidden="1" customWidth="1"/>
    <col min="75" max="76" width="10.88671875" style="63" hidden="1" customWidth="1"/>
    <col min="77" max="77" width="14.6640625" style="63" hidden="1" customWidth="1"/>
    <col min="78" max="78" width="9.109375" style="63" hidden="1" customWidth="1"/>
    <col min="79" max="79" width="33.5546875" style="63" hidden="1" customWidth="1"/>
    <col min="80" max="92" width="9.109375" style="63" hidden="1" customWidth="1"/>
    <col min="93" max="96" width="13.6640625" style="62" hidden="1" customWidth="1"/>
    <col min="97" max="111" width="9.109375" style="62" hidden="1" customWidth="1"/>
    <col min="112" max="112" width="18.88671875" style="62" hidden="1" customWidth="1"/>
    <col min="113" max="118" width="9.109375" style="1"/>
    <col min="119" max="119" width="9.6640625" style="1" bestFit="1" customWidth="1"/>
    <col min="120" max="120" width="5.6640625" style="1" bestFit="1" customWidth="1"/>
    <col min="121" max="121" width="15.6640625" style="1" bestFit="1" customWidth="1"/>
    <col min="122" max="122" width="10.109375" style="1" bestFit="1" customWidth="1"/>
    <col min="123" max="123" width="10.5546875" style="1" bestFit="1" customWidth="1"/>
    <col min="124" max="124" width="6.77734375" style="1" bestFit="1" customWidth="1"/>
    <col min="125" max="125" width="18.88671875" style="1" bestFit="1" customWidth="1"/>
    <col min="126" max="126" width="10.88671875" style="1" bestFit="1" customWidth="1"/>
    <col min="127" max="127" width="11.33203125" style="1" bestFit="1" customWidth="1"/>
    <col min="128" max="16384" width="9.109375" style="1"/>
  </cols>
  <sheetData>
    <row r="1" spans="1:153" ht="6" customHeight="1" thickBot="1" x14ac:dyDescent="0.35">
      <c r="A1" s="38"/>
      <c r="B1" s="39"/>
      <c r="C1" s="40"/>
      <c r="D1" s="40"/>
      <c r="E1" s="41"/>
    </row>
    <row r="2" spans="1:153" ht="37.799999999999997" customHeight="1" thickBot="1" x14ac:dyDescent="0.35">
      <c r="A2" s="42"/>
      <c r="B2" s="49" t="s">
        <v>76</v>
      </c>
      <c r="C2" s="43"/>
      <c r="D2" s="50" t="s">
        <v>77</v>
      </c>
      <c r="E2" s="44"/>
      <c r="BN2" s="100" t="s">
        <v>111</v>
      </c>
      <c r="BO2" s="100"/>
      <c r="BP2" s="100"/>
      <c r="BQ2" s="100"/>
      <c r="BS2" s="64">
        <f>VLOOKUP(C8,$CJ$73:$CJ$80,1,FALSE)</f>
        <v>0</v>
      </c>
      <c r="BT2" s="64" t="s">
        <v>147</v>
      </c>
      <c r="BZ2" s="100" t="s">
        <v>112</v>
      </c>
      <c r="CA2" s="100"/>
      <c r="CB2" s="100"/>
      <c r="CL2" s="65" t="s">
        <v>164</v>
      </c>
    </row>
    <row r="3" spans="1:153" ht="6" customHeight="1" thickBot="1" x14ac:dyDescent="0.35">
      <c r="A3" s="45"/>
      <c r="B3" s="46"/>
      <c r="C3" s="47"/>
      <c r="D3" s="47"/>
      <c r="E3" s="48"/>
    </row>
    <row r="4" spans="1:153" ht="49.5" customHeight="1" x14ac:dyDescent="0.3">
      <c r="A4" s="27"/>
      <c r="B4" s="104" t="str">
        <f>IF(ISBLANK($D$2),"",
IF($D$2=$CJ$4,CO4,
IF($D$2=$CJ$5,CP4,
IF($D$2=$CJ$6,CQ4,
CR4))))</f>
        <v>PRORATE OF FAIRTRADE MINIMUM PRICES AND PREMIUM
THAT ARE VALID FOR 2025 FOR SPECIAL CARDBOAR BOX</v>
      </c>
      <c r="C4" s="104"/>
      <c r="D4" s="104"/>
      <c r="E4" s="28"/>
      <c r="AZ4" s="63" t="str">
        <f>CJ4</f>
        <v>English</v>
      </c>
      <c r="BA4" s="63" t="s">
        <v>134</v>
      </c>
      <c r="BB4" s="62" t="s">
        <v>19</v>
      </c>
      <c r="BD4" s="66" t="str">
        <f>CJ4</f>
        <v>English</v>
      </c>
      <c r="BE4" s="66" t="str">
        <f>CJ5</f>
        <v>Français</v>
      </c>
      <c r="BF4" s="66" t="str">
        <f>CJ6</f>
        <v>Português</v>
      </c>
      <c r="BG4" s="66" t="str">
        <f>CJ7</f>
        <v>Español</v>
      </c>
      <c r="BK4" s="67">
        <v>2025</v>
      </c>
      <c r="BL4" s="68" t="s">
        <v>15</v>
      </c>
      <c r="BM4" s="68" t="str">
        <f>"CARTON PRICE VALID FOR "&amp;BK4</f>
        <v>CARTON PRICE VALID FOR 2025</v>
      </c>
      <c r="BN4" s="68" t="s">
        <v>113</v>
      </c>
      <c r="BO4" s="68" t="s">
        <v>16</v>
      </c>
      <c r="BP4" s="68" t="str">
        <f>"FOB FMP conv valid for "&amp;BK4</f>
        <v>FOB FMP conv valid for 2025</v>
      </c>
      <c r="BQ4" s="68" t="str">
        <f>"FOB FMP org valid for "&amp;BK4</f>
        <v>FOB FMP org valid for 2025</v>
      </c>
      <c r="BR4" s="69" t="s">
        <v>7</v>
      </c>
      <c r="BS4" s="70"/>
      <c r="BT4" s="70"/>
      <c r="BU4" s="70"/>
      <c r="BV4" s="68" t="s">
        <v>14</v>
      </c>
      <c r="BW4" s="68" t="str">
        <f>"EXW FMP conv valid for "&amp;BK4</f>
        <v>EXW FMP conv valid for 2025</v>
      </c>
      <c r="BX4" s="68" t="str">
        <f>"EXW FMP org valid for "&amp;BK4</f>
        <v>EXW FMP org valid for 2025</v>
      </c>
      <c r="BY4" s="67"/>
      <c r="BZ4" s="70" t="str">
        <f>"FOB-EXW diff conv valid for "&amp;BK4</f>
        <v>FOB-EXW diff conv valid for 2025</v>
      </c>
      <c r="CA4" s="70" t="str">
        <f>"FOB-EXW diff org valid for "&amp;BK4</f>
        <v>FOB-EXW diff org valid for 2025</v>
      </c>
      <c r="CB4" s="70" t="s">
        <v>121</v>
      </c>
      <c r="CH4" s="71" t="s">
        <v>19</v>
      </c>
      <c r="CI4" s="71"/>
      <c r="CJ4" s="71" t="s">
        <v>77</v>
      </c>
      <c r="CK4" s="72" t="s">
        <v>153</v>
      </c>
      <c r="CL4" s="71">
        <f>HLOOKUP(C8,$CO$62:$CW$64,2,FALSE)</f>
        <v>0</v>
      </c>
      <c r="CM4" s="71"/>
      <c r="CN4" s="71"/>
      <c r="CO4" s="62" t="str">
        <f>"PRORATE OF FAIRTRADE MINIMUM PRICES AND PREMIUM
THAT ARE VALID FOR "&amp;$BK$4&amp;" FOR SPECIAL CARDBOAR BOX"</f>
        <v>PRORATE OF FAIRTRADE MINIMUM PRICES AND PREMIUM
THAT ARE VALID FOR 2025 FOR SPECIAL CARDBOAR BOX</v>
      </c>
      <c r="CP4" s="62" t="str">
        <f>"AU PRORATA DES PRIX MINIMUMS ET DE LA PRIME DU COMMERCE ÉQUITABLE 
QUI SONT VALABLES POUR "&amp;$BK$4&amp;" POUR LES BOîTES DE CARTON SPÉCIALES"</f>
        <v>AU PRORATA DES PRIX MINIMUMS ET DE LA PRIME DU COMMERCE ÉQUITABLE 
QUI SONT VALABLES POUR 2025 POUR LES BOîTES DE CARTON SPÉCIALES</v>
      </c>
      <c r="CQ4" s="62" t="str">
        <f>"PREÇOS MÍNIMOS DE COMÉRCIO JUSTO E PRÉMIO PROPORCIONAL
QUE SÃO VÁLIDOS PARA "&amp;$BK$4&amp;" PARA CAIXA ESPECIAL"</f>
        <v>PREÇOS MÍNIMOS DE COMÉRCIO JUSTO E PRÉMIO PROPORCIONAL
QUE SÃO VÁLIDOS PARA 2025 PARA CAIXA ESPECIAL</v>
      </c>
      <c r="CR4" s="62" t="str">
        <f>"PRORRATEO DE PRECIOS MÍNIMOS Y PRIMA FAIRTRADE 
VIGENTES PARA EL AÑO "&amp;$BK$4&amp;" PARA CAJA DE CARTÓN ESPECIAL"</f>
        <v>PRORRATEO DE PRECIOS MÍNIMOS Y PRIMA FAIRTRADE 
VIGENTES PARA EL AÑO 2025 PARA CAJA DE CARTÓN ESPECIAL</v>
      </c>
      <c r="CS4" s="71"/>
      <c r="CT4" s="71"/>
      <c r="CU4" s="71"/>
      <c r="CV4" s="71"/>
      <c r="CW4" s="71"/>
      <c r="CX4" s="71"/>
      <c r="CY4" s="71"/>
      <c r="CZ4" s="71"/>
      <c r="DA4" s="71"/>
      <c r="DB4" s="71"/>
      <c r="DC4" s="71"/>
      <c r="DD4" s="71"/>
      <c r="DE4" s="71"/>
      <c r="DF4" s="71"/>
      <c r="DG4" s="71"/>
      <c r="DH4" s="71"/>
      <c r="DI4" s="35"/>
      <c r="DJ4" s="35"/>
      <c r="DK4" s="35"/>
      <c r="DL4" s="35"/>
      <c r="DM4" s="35"/>
      <c r="DN4" s="35"/>
      <c r="DO4" s="35"/>
      <c r="DP4" s="35"/>
      <c r="DQ4" s="35"/>
      <c r="DR4" s="35"/>
      <c r="DS4" s="35"/>
      <c r="DT4" s="35"/>
      <c r="DU4" s="35"/>
      <c r="DV4" s="35"/>
      <c r="EB4" s="35"/>
      <c r="EC4" s="35"/>
      <c r="ED4" s="35"/>
      <c r="EE4" s="35"/>
      <c r="EF4" s="35"/>
      <c r="EG4" s="35"/>
      <c r="EH4" s="35"/>
      <c r="EI4" s="35"/>
      <c r="EJ4" s="35"/>
      <c r="EK4" s="35"/>
      <c r="EL4" s="35"/>
      <c r="EM4" s="35"/>
      <c r="EN4" s="35"/>
      <c r="EO4" s="35"/>
      <c r="EP4" s="35"/>
      <c r="EQ4" s="35"/>
      <c r="ER4" s="35"/>
      <c r="ES4" s="35"/>
      <c r="ET4" s="35"/>
      <c r="EU4" s="35"/>
      <c r="EV4" s="35"/>
      <c r="EW4" s="35"/>
    </row>
    <row r="5" spans="1:153" ht="9" customHeight="1" x14ac:dyDescent="0.3">
      <c r="A5" s="29"/>
      <c r="B5" s="25"/>
      <c r="C5" s="25"/>
      <c r="D5" s="25"/>
      <c r="E5" s="30"/>
      <c r="AZ5" s="63" t="str">
        <f>CJ5</f>
        <v>Français</v>
      </c>
      <c r="BA5" s="63" t="s">
        <v>135</v>
      </c>
      <c r="BB5" s="62" t="s">
        <v>19</v>
      </c>
      <c r="BD5" s="63" t="str">
        <f>"This tool is for prorating the country specific Fairtrade Minimum Prices for banana, which are set for an standard carton box of 18.14 kg and valid for "&amp;BK4&amp;". "</f>
        <v xml:space="preserve">This tool is for prorating the country specific Fairtrade Minimum Prices for banana, which are set for an standard carton box of 18.14 kg and valid for 2025. </v>
      </c>
      <c r="BE5" s="63" t="str">
        <f>"Cet outil est utilisé pour calculer au prorata les prix minimums du commerce équitable pour les bananes, pour des pays spécifiques, fixés pour la boîte en carton standard de 18.14 kg, qui sont valables pendant "&amp;BK4&amp;". "</f>
        <v xml:space="preserve">Cet outil est utilisé pour calculer au prorata les prix minimums du commerce équitable pour les bananes, pour des pays spécifiques, fixés pour la boîte en carton standard de 18.14 kg, qui sont valables pendant 2025. </v>
      </c>
      <c r="BF5" s="63" t="str">
        <f>"Esta ferramenta é utilizada para avaliar os Preços Mínimos de Comércio Justo para bananas, para países específicos, estabelecidos para a caixa de cartão padrão de 18.14 kg, que são válidos para "&amp;BK4&amp;". "</f>
        <v xml:space="preserve">Esta ferramenta é utilizada para avaliar os Preços Mínimos de Comércio Justo para bananas, para países específicos, estabelecidos para a caixa de cartão padrão de 18.14 kg, que são válidos para 2025. </v>
      </c>
      <c r="BG5" s="63" t="str">
        <f>"Esta herramienta sirve para prorratear los Precios Mínimos Fairtrade de banano, para países específicos, establecidos para la caja de cartón estándar de 18.14 kg y que son válidos para "&amp;BK4&amp;"."</f>
        <v>Esta herramienta sirve para prorratear los Precios Mínimos Fairtrade de banano, para países específicos, establecidos para la caja de cartón estándar de 18.14 kg y que son válidos para 2025.</v>
      </c>
      <c r="BH5" s="62" t="s">
        <v>19</v>
      </c>
      <c r="BI5" s="62" t="str">
        <f>BL5</f>
        <v>Panama</v>
      </c>
      <c r="BJ5" s="63" t="str">
        <f>IF(ISBLANK($D$2),"",
IF($D$2=$CJ$4,BD5,
IF($D$2=$CJ$5,BE5,
IF($D$2=$CJ$6,BF5,
BG5))))</f>
        <v xml:space="preserve">This tool is for prorating the country specific Fairtrade Minimum Prices for banana, which are set for an standard carton box of 18.14 kg and valid for 2025. </v>
      </c>
      <c r="BL5" s="73" t="str">
        <f>IF(ISBLANK($D$2),"",
IF($D$2=$CJ$4,BD11,
IF($D$2=$CJ$5,BE11,
IF($D$2=$CJ$6,BF11,
BG11))))</f>
        <v>Panama</v>
      </c>
      <c r="BM5" s="74">
        <f>1.58*0+2.13*0+2.25*0+1.7*0+1.7</f>
        <v>1.7</v>
      </c>
      <c r="BN5" s="73" t="s">
        <v>114</v>
      </c>
      <c r="BO5" s="73" t="str">
        <f t="shared" ref="BO5:BO11" si="0">IF($D$2=$CJ$4,$BD$20,
IF($D$2=$CJ$5,$BE$20,
IF($D$2=$CJ$6,$BF$20,
$BG$20)))</f>
        <v>without including</v>
      </c>
      <c r="BP5" s="75">
        <f>9.9*0+10.7*0+11.5*0+1*0+11.4</f>
        <v>11.4</v>
      </c>
      <c r="BQ5" s="74"/>
      <c r="BR5" s="73" t="str">
        <f xml:space="preserve">
IF(ISERROR(VLOOKUP(C8,$CJ$73:$CJ$80,1,FALSE)),"",
IF(ISBLANK($D$2),"",
IF($D$2=$CJ$4,$BD$21,
IF($D$2=$CJ$5,$BE$21,
IF($D$2=$CJ$6,$BF$21,
$BG$21)))))</f>
        <v>conventional Fairtrade banana</v>
      </c>
      <c r="BS5" s="74" t="str">
        <f>BL5</f>
        <v>Panama</v>
      </c>
      <c r="BT5" s="73"/>
      <c r="BU5" s="76"/>
      <c r="BV5" s="73" t="s">
        <v>2</v>
      </c>
      <c r="BW5" s="75">
        <f>6.85*0+7*0+7.5*0+7.75*0+7.9</f>
        <v>7.9</v>
      </c>
      <c r="BX5" s="74"/>
      <c r="BY5" s="74" t="str">
        <f>BL5</f>
        <v>Panama</v>
      </c>
      <c r="BZ5" s="74"/>
      <c r="CA5" s="74"/>
      <c r="CB5" s="73"/>
      <c r="CD5" s="63">
        <f>4.8*0+5.43*0+4.7*0</f>
        <v>0</v>
      </c>
      <c r="CJ5" s="63" t="s">
        <v>79</v>
      </c>
      <c r="CK5" s="72" t="s">
        <v>154</v>
      </c>
      <c r="CL5" s="63" t="str">
        <f>IF(HLOOKUP(C8,$CO$62:$CW$64,3,FALSE)=0,"",HLOOKUP(C8,$CO$62:$CW$64,3,FALSE))</f>
        <v/>
      </c>
      <c r="CM5" s="71" t="s">
        <v>19</v>
      </c>
    </row>
    <row r="6" spans="1:153" ht="105" customHeight="1" x14ac:dyDescent="0.3">
      <c r="A6" s="29"/>
      <c r="B6" s="108" t="str">
        <f>BJ5&amp;BJ6&amp;" "&amp;BJ7&amp;"
"&amp;BJ8</f>
        <v>This tool is for prorating the country specific Fairtrade Minimum Prices for banana, which are set for an standard carton box of 18.14 kg and valid for 2025. The tool prorates the Fairtrade Minimum Prices of the standard 18.14 kg cardboard box to a special cardboard box (of a weight in kilos and a price, to be indicated by the user in the empty cells of the spreadsheet). Please NOTE THAT the prorate examples ARE ONLY BASED on the variation of: a) the weight of fruit per box and b) the price of the type of packing box. ADDITIONAL COSTS, or PRICE VARIATIONS OF EXISTING INPUTS, might be also involved; for prorating them the Fairtrade Standards for Fresh Fruits must always apply.
PLEASE COMPLETE EMPTY CELLS WITH THE INFORMATION OF THE PACKING BOX YOU WANT TO RUN THE PRO-RATA</v>
      </c>
      <c r="C6" s="108"/>
      <c r="D6" s="108"/>
      <c r="E6" s="30"/>
      <c r="AO6" s="77" t="s">
        <v>82</v>
      </c>
      <c r="AQ6" s="71" t="s">
        <v>81</v>
      </c>
      <c r="AR6" s="77"/>
      <c r="AS6" s="77"/>
      <c r="AV6" s="77"/>
      <c r="AW6" s="77"/>
      <c r="AZ6" s="63" t="str">
        <f>CJ6</f>
        <v>Português</v>
      </c>
      <c r="BA6" s="63" t="s">
        <v>136</v>
      </c>
      <c r="BB6" s="62" t="s">
        <v>19</v>
      </c>
      <c r="BD6" s="63" t="s">
        <v>170</v>
      </c>
      <c r="BE6" s="63" t="s">
        <v>171</v>
      </c>
      <c r="BF6" s="63" t="s">
        <v>172</v>
      </c>
      <c r="BG6" s="63" t="s">
        <v>173</v>
      </c>
      <c r="BH6" s="62" t="s">
        <v>19</v>
      </c>
      <c r="BI6" s="62" t="str">
        <f>BL6</f>
        <v>Peru</v>
      </c>
      <c r="BJ6" s="63" t="str">
        <f>IF(ISBLANK($D$2),"",
IF($D$2=$CJ$4,BD6,
IF($D$2=$CJ$5,BE6,
IF($D$2=$CJ$6,BF6,
BG6))))</f>
        <v>The tool prorates the Fairtrade Minimum Prices of the standard 18.14 kg cardboard box to a special cardboard box (of a weight in kilos and a price, to be indicated by the user in the empty cells of the spreadsheet).</v>
      </c>
      <c r="BL6" s="73" t="str">
        <f>IF(ISBLANK($D$2),"",
IF($D$2=$CJ$4,BD12,
IF($D$2=$CJ$5,BE12,
IF($D$2=$CJ$6,BF12,
BG12))))</f>
        <v>Peru</v>
      </c>
      <c r="BM6" s="74">
        <f>1.55*0+1.88*0+1.93*0+1.95*0+1.85</f>
        <v>1.85</v>
      </c>
      <c r="BN6" s="73" t="s">
        <v>115</v>
      </c>
      <c r="BO6" s="73" t="str">
        <f t="shared" si="0"/>
        <v>without including</v>
      </c>
      <c r="BP6" s="74"/>
      <c r="BQ6" s="75">
        <f>12.35*0+12.85*0+13.95*0+13.8*0+13.95</f>
        <v>13.95</v>
      </c>
      <c r="BR6" s="73" t="str">
        <f xml:space="preserve">
IF(ISERROR(VLOOKUP(C8,$CK$73:$CK$80,1,FALSE)),"",
IF(ISBLANK($D$2),"",
IF($D$2=$CJ$4,$BD$22,
IF($D$2=$CJ$5,$BE$22,
IF($D$2=$CJ$6,$BF$22,
$BG$22)))))</f>
        <v/>
      </c>
      <c r="BS6" s="74" t="str">
        <f>BL6</f>
        <v>Peru</v>
      </c>
      <c r="BT6" s="73"/>
      <c r="BU6" s="73"/>
      <c r="BV6" s="73" t="s">
        <v>13</v>
      </c>
      <c r="BW6" s="74"/>
      <c r="BX6" s="75">
        <f>8.95*0+9.05*0+9.55*0+9.7*0+9.8</f>
        <v>9.8000000000000007</v>
      </c>
      <c r="BY6" s="74" t="str">
        <f>BL6</f>
        <v>Peru</v>
      </c>
      <c r="BZ6" s="74"/>
      <c r="CA6" s="74"/>
      <c r="CB6" s="73"/>
      <c r="CE6" s="78" t="str">
        <f>CJ4</f>
        <v>English</v>
      </c>
      <c r="CF6" s="78" t="str">
        <f>CJ5</f>
        <v>Français</v>
      </c>
      <c r="CG6" s="78" t="str">
        <f>CJ6</f>
        <v>Português</v>
      </c>
      <c r="CH6" s="78" t="str">
        <f>CJ7</f>
        <v>Español</v>
      </c>
      <c r="CJ6" s="63" t="s">
        <v>78</v>
      </c>
      <c r="CK6" s="63" t="s">
        <v>19</v>
      </c>
      <c r="CL6" s="63" t="str">
        <f>IF(HLOOKUP(C8,$CO$62:$CW$65,4,FALSE)=0,"",HLOOKUP(C8,$CO$62:$CW$65,4,FALSE))</f>
        <v/>
      </c>
      <c r="CM6" s="71"/>
    </row>
    <row r="7" spans="1:153" ht="6.6" customHeight="1" x14ac:dyDescent="0.3">
      <c r="A7" s="29"/>
      <c r="B7" s="25"/>
      <c r="C7" s="25"/>
      <c r="D7" s="25"/>
      <c r="E7" s="30"/>
      <c r="AR7" s="77"/>
      <c r="AS7" s="77"/>
      <c r="AZ7" s="63" t="str">
        <f>CJ7</f>
        <v>Español</v>
      </c>
      <c r="BA7" s="63" t="s">
        <v>137</v>
      </c>
      <c r="BB7" s="62" t="s">
        <v>19</v>
      </c>
      <c r="BD7" s="63" t="s">
        <v>23</v>
      </c>
      <c r="BE7" s="63" t="s">
        <v>65</v>
      </c>
      <c r="BF7" s="63" t="s">
        <v>66</v>
      </c>
      <c r="BG7" s="63" t="s">
        <v>31</v>
      </c>
      <c r="BH7" s="62" t="s">
        <v>19</v>
      </c>
      <c r="BI7" s="62" t="str">
        <f>BL7</f>
        <v>Colombia</v>
      </c>
      <c r="BJ7" s="63" t="str">
        <f>IF(ISBLANK($D$2),"",
IF($D$2=$CJ$4,BD7,
IF($D$2=$CJ$5,BE7,
IF($D$2=$CJ$6,BF7,
BG7))))</f>
        <v>Please NOTE THAT the prorate examples ARE ONLY BASED on the variation of: a) the weight of fruit per box and b) the price of the type of packing box. ADDITIONAL COSTS, or PRICE VARIATIONS OF EXISTING INPUTS, might be also involved; for prorating them the Fairtrade Standards for Fresh Fruits must always apply.</v>
      </c>
      <c r="BL7" s="73" t="str">
        <f>IF(ISBLANK($D$2),"",
IF($D$2=$CJ$4,BD13,
IF($D$2=$CJ$5,BE13,
IF($D$2=$CJ$6,BF13,
BG13))))</f>
        <v>Colombia</v>
      </c>
      <c r="BM7" s="74">
        <f>1.14*0+1.53*0+1.85*0+1.74*0+1.65</f>
        <v>1.65</v>
      </c>
      <c r="BN7" s="73" t="str">
        <f>IF(BN16=BH23,"Sta.Marta","Turbo/Sta.Marta")</f>
        <v>Sta.Marta</v>
      </c>
      <c r="BO7" s="73" t="str">
        <f t="shared" si="0"/>
        <v>without including</v>
      </c>
      <c r="BP7" s="75">
        <f>9.8*0+10.2*0+11.2*0+11.4*0+11.55</f>
        <v>11.55</v>
      </c>
      <c r="BQ7" s="75">
        <f>13.5*0+13.75*0+13.9</f>
        <v>13.9</v>
      </c>
      <c r="BR7" s="73"/>
      <c r="BS7" s="74" t="str">
        <f>BL7</f>
        <v>Colombia</v>
      </c>
      <c r="BT7" s="73"/>
      <c r="BU7" s="73"/>
      <c r="BV7" s="73"/>
      <c r="BW7" s="75">
        <f>7.2*0+7.3*0+7.7*0+8*0+8.25</f>
        <v>8.25</v>
      </c>
      <c r="BX7" s="75">
        <f>9.9*0+10.25*0+10.5</f>
        <v>10.5</v>
      </c>
      <c r="BY7" s="74" t="str">
        <f>BL7</f>
        <v>Colombia</v>
      </c>
      <c r="BZ7" s="74"/>
      <c r="CA7" s="74"/>
      <c r="CB7" s="73"/>
      <c r="CJ7" s="63" t="s">
        <v>174</v>
      </c>
      <c r="CM7" s="71"/>
    </row>
    <row r="8" spans="1:153" ht="15.6" x14ac:dyDescent="0.3">
      <c r="A8" s="29"/>
      <c r="B8" s="26" t="str">
        <f>IF(ISBLANK($D$2),"",
IF($D$2=$CJ$4,CO8,
IF($D$2=$CJ$5,CP8,
IF($D$2=$CJ$6,CQ8,
CR8))))</f>
        <v>Choose banana producer country:</v>
      </c>
      <c r="C8" s="103"/>
      <c r="D8" s="103"/>
      <c r="E8" s="30"/>
      <c r="AO8" s="62" t="e">
        <f>VLOOKUP(D2&amp;C8,$AY$15:$AY$58,1,FALSE)</f>
        <v>#N/A</v>
      </c>
      <c r="AP8" s="62" t="b">
        <f>ISERROR(AO8)</f>
        <v>1</v>
      </c>
      <c r="AQ8" s="65" t="b">
        <f>IF(AND(AP8=FALSE,AP9=FALSE,AP10=TRUE),FALSE,TRUE)</f>
        <v>1</v>
      </c>
      <c r="AR8" s="77"/>
      <c r="AS8" s="77"/>
      <c r="AV8" s="79"/>
      <c r="AW8" s="79"/>
      <c r="AZ8" s="63"/>
      <c r="BD8" s="63" t="s">
        <v>20</v>
      </c>
      <c r="BE8" s="63" t="s">
        <v>68</v>
      </c>
      <c r="BF8" s="62" t="s">
        <v>67</v>
      </c>
      <c r="BG8" s="63" t="s">
        <v>83</v>
      </c>
      <c r="BH8" s="62" t="s">
        <v>19</v>
      </c>
      <c r="BI8" s="62" t="str">
        <f>BL8</f>
        <v>Ecuador</v>
      </c>
      <c r="BJ8" s="63" t="str">
        <f>IF(ISBLANK($D$2),"",
IF($D$2=$CJ$4,BD8,
IF($D$2=$CJ$5,BE8,
IF($D$2=$CJ$6,BF8,
BG8))))</f>
        <v>PLEASE COMPLETE EMPTY CELLS WITH THE INFORMATION OF THE PACKING BOX YOU WANT TO RUN THE PRO-RATA</v>
      </c>
      <c r="BL8" s="73" t="str">
        <f>IF(ISBLANK($D$2),"",
IF($D$2=$CJ$4,BD14,
IF($D$2=$CJ$5,BE14,
IF($D$2=$CJ$6,BF14,
BG14))))</f>
        <v>Ecuador</v>
      </c>
      <c r="BM8" s="74">
        <f>1.35*0+1.9*0+2.22*0+1.85*0+1.45</f>
        <v>1.45</v>
      </c>
      <c r="BN8" s="73" t="s">
        <v>116</v>
      </c>
      <c r="BO8" s="73" t="str">
        <f t="shared" si="0"/>
        <v>without including</v>
      </c>
      <c r="BP8" s="75">
        <f>9.35*0+10.05*0+11.05*0+10.9*0+11.05</f>
        <v>11.05</v>
      </c>
      <c r="BQ8" s="75">
        <f>12.2*0+12.85*0+13.8*0+13.7*0+13.85</f>
        <v>13.85</v>
      </c>
      <c r="BR8" s="73"/>
      <c r="BS8" s="74" t="str">
        <f>BL8</f>
        <v>Ecuador</v>
      </c>
      <c r="BT8" s="73"/>
      <c r="BU8" s="73"/>
      <c r="BV8" s="73"/>
      <c r="BW8" s="75">
        <f>6.55*0+6.65*0+7.05*0+7.1*0+7.25</f>
        <v>7.25</v>
      </c>
      <c r="BX8" s="75">
        <f>9.3*0+9.35*0+9.7*0+9.75*0+9.95</f>
        <v>9.9499999999999993</v>
      </c>
      <c r="BY8" s="74" t="str">
        <f>BL8</f>
        <v>Ecuador</v>
      </c>
      <c r="BZ8" s="75">
        <f>3.85*0+4.44*0+4.12*0+4.12</f>
        <v>4.12</v>
      </c>
      <c r="CA8" s="75">
        <f>3.95*0+4.54*0+4.27*0+4.22</f>
        <v>4.22</v>
      </c>
      <c r="CB8" s="73" t="str">
        <f>IF($D$2=$CJ$4,CE8,
IF($D$2=$CJ$5,CF8,
IF($D$2=$CJ$6,CG8,
CH8)))</f>
        <v>Guayaquil (arriving to port from Machala)</v>
      </c>
      <c r="CE8" s="67" t="s">
        <v>156</v>
      </c>
      <c r="CF8" s="67" t="s">
        <v>160</v>
      </c>
      <c r="CG8" s="67" t="s">
        <v>162</v>
      </c>
      <c r="CH8" s="67" t="s">
        <v>158</v>
      </c>
      <c r="CI8" s="67" t="s">
        <v>19</v>
      </c>
      <c r="CO8" s="62" t="s">
        <v>17</v>
      </c>
      <c r="CP8" s="62" t="s">
        <v>51</v>
      </c>
      <c r="CQ8" s="62" t="s">
        <v>53</v>
      </c>
      <c r="CR8" s="62" t="s">
        <v>24</v>
      </c>
    </row>
    <row r="9" spans="1:153" ht="15.6" x14ac:dyDescent="0.3">
      <c r="A9" s="29"/>
      <c r="B9" s="26" t="str">
        <f>IF(ISBLANK($D$2),"",
IF($D$2=$CJ$4,CO9,
IF($D$2=$CJ$5,CP9,
IF($D$2=$CJ$6,CQ9,
CR9))))</f>
        <v>Choose type of Fairtrade banana:</v>
      </c>
      <c r="C9" s="103"/>
      <c r="D9" s="103"/>
      <c r="E9" s="30"/>
      <c r="AO9" s="62" t="e">
        <f>VLOOKUP(D2&amp;C9,$AY$15:$AY$58,1,FALSE)</f>
        <v>#N/A</v>
      </c>
      <c r="AP9" s="62" t="b">
        <f>ISERROR(AO9)</f>
        <v>1</v>
      </c>
      <c r="AR9" s="77"/>
      <c r="AS9" s="77"/>
      <c r="AU9" s="62" t="s">
        <v>19</v>
      </c>
      <c r="AZ9" s="63"/>
      <c r="BD9" s="63"/>
      <c r="BG9" s="63"/>
      <c r="BI9" s="62" t="str">
        <f>BL10</f>
        <v>Ghana</v>
      </c>
      <c r="BL9" s="73"/>
      <c r="BM9" s="73"/>
      <c r="BN9" s="73"/>
      <c r="BO9" s="73"/>
      <c r="BP9" s="74"/>
      <c r="BQ9" s="74"/>
      <c r="BR9" s="73"/>
      <c r="BS9" s="74"/>
      <c r="BT9" s="73"/>
      <c r="BU9" s="73"/>
      <c r="BV9" s="73"/>
      <c r="BW9" s="75"/>
      <c r="BX9" s="74"/>
      <c r="BY9" s="74"/>
      <c r="BZ9" s="75">
        <f>3.88*0+3.88</f>
        <v>3.88</v>
      </c>
      <c r="CA9" s="75">
        <f>4.03*0+3.98</f>
        <v>3.98</v>
      </c>
      <c r="CB9" s="73" t="str">
        <f>IF($D$2=$CJ$4,CE9,
IF($D$2=$CJ$5,CF9,
IF($D$2=$CJ$6,CG9,
CH9)))</f>
        <v>Guayaquil/Posorja (arriving to port from Santa Elena)</v>
      </c>
      <c r="CE9" s="67" t="s">
        <v>157</v>
      </c>
      <c r="CF9" s="67" t="s">
        <v>161</v>
      </c>
      <c r="CG9" s="67" t="s">
        <v>163</v>
      </c>
      <c r="CH9" s="67" t="s">
        <v>159</v>
      </c>
      <c r="CI9" s="67" t="s">
        <v>19</v>
      </c>
      <c r="CO9" s="62" t="s">
        <v>18</v>
      </c>
      <c r="CP9" s="62" t="s">
        <v>52</v>
      </c>
      <c r="CQ9" s="62" t="s">
        <v>54</v>
      </c>
      <c r="CR9" s="62" t="s">
        <v>25</v>
      </c>
    </row>
    <row r="10" spans="1:153" ht="15.6" x14ac:dyDescent="0.3">
      <c r="A10" s="29"/>
      <c r="B10" s="26" t="str">
        <f>IF(ISBLANK($D$2),"",
IF($D$2=$CJ$4,CO10,
IF($D$2=$CJ$5,CP10,
IF($D$2=$CJ$6,CQ10,
CR10))))</f>
        <v>Port:</v>
      </c>
      <c r="C10" s="101"/>
      <c r="D10" s="102"/>
      <c r="E10" s="30"/>
      <c r="AO10" s="62" t="str">
        <f>C8&amp;C10</f>
        <v/>
      </c>
      <c r="AP10" s="62" t="b">
        <f>IF(ISBLANK(C10),FALSE,
IF(ISERROR(OR(C10=CL4,C10=CL5,C10=CL6)),FALSE,
OR(C10=CL4,C10=CL5,C10=CL6)))</f>
        <v>0</v>
      </c>
      <c r="AR10" s="77"/>
      <c r="AS10" s="77"/>
      <c r="AZ10" s="63"/>
      <c r="BD10" s="63"/>
      <c r="BG10" s="63"/>
      <c r="BI10" s="62" t="str">
        <f>BL11</f>
        <v>Dominican Republic</v>
      </c>
      <c r="BL10" s="73" t="str">
        <f>IF(ISBLANK($D$2),"",
IF($D$2=$CJ$4,BD16,
IF($D$2=$CJ$5,BE16,
IF($D$2=$CJ$6,BF16,
BG16))))</f>
        <v>Ghana</v>
      </c>
      <c r="BM10" s="74">
        <f>1.74*0+1.99*0+1.74*0+1.4</f>
        <v>1.4</v>
      </c>
      <c r="BN10" s="73" t="s">
        <v>117</v>
      </c>
      <c r="BO10" s="73" t="str">
        <f t="shared" si="0"/>
        <v>without including</v>
      </c>
      <c r="BP10" s="75">
        <f>9.35*0+10.3*0+10.4*0+10.9</f>
        <v>10.9</v>
      </c>
      <c r="BQ10" s="75">
        <f>12.25*0+12.95*0+13.05*0+13.7</f>
        <v>13.7</v>
      </c>
      <c r="BR10" s="73"/>
      <c r="BS10" s="74" t="str">
        <f>BL10</f>
        <v>Ghana</v>
      </c>
      <c r="BT10" s="73"/>
      <c r="BU10" s="73"/>
      <c r="BV10" s="73"/>
      <c r="BW10" s="75">
        <f>6.9*0+7.4*0+7.45*0+8.1</f>
        <v>8.1</v>
      </c>
      <c r="BX10" s="75">
        <f>9.8*0+10.05*0+10.1*0+10.9</f>
        <v>10.9</v>
      </c>
      <c r="BY10" s="74" t="str">
        <f>BL10</f>
        <v>Ghana</v>
      </c>
      <c r="BZ10" s="74"/>
      <c r="CA10" s="74"/>
      <c r="CB10" s="73"/>
      <c r="CO10" s="62" t="s">
        <v>124</v>
      </c>
      <c r="CP10" s="62" t="s">
        <v>124</v>
      </c>
      <c r="CQ10" s="62" t="s">
        <v>125</v>
      </c>
      <c r="CR10" s="62" t="s">
        <v>123</v>
      </c>
    </row>
    <row r="11" spans="1:153" ht="5.4" customHeight="1" x14ac:dyDescent="0.3">
      <c r="A11" s="29"/>
      <c r="B11" s="37"/>
      <c r="C11" s="36" t="s">
        <v>2</v>
      </c>
      <c r="D11" s="36"/>
      <c r="E11" s="30"/>
      <c r="AR11" s="77"/>
      <c r="AS11" s="77"/>
      <c r="AZ11" s="71"/>
      <c r="BD11" s="80" t="s">
        <v>4</v>
      </c>
      <c r="BE11" s="81" t="s">
        <v>4</v>
      </c>
      <c r="BF11" s="81" t="s">
        <v>36</v>
      </c>
      <c r="BG11" s="81" t="s">
        <v>36</v>
      </c>
      <c r="BH11" s="62" t="s">
        <v>19</v>
      </c>
      <c r="BI11" s="62" t="str">
        <f>BL12</f>
        <v>Nicaragua</v>
      </c>
      <c r="BL11" s="73" t="str">
        <f>IF(ISBLANK($D$2),"",
IF($D$2=$CJ$4,BD17,
IF($D$2=$CJ$5,BE17,
IF($D$2=$CJ$6,BF17,
BG17))))</f>
        <v>Dominican Republic</v>
      </c>
      <c r="BM11" s="74">
        <f>1.75*0+2.05*0+2.55*0+2.38*0+2.09</f>
        <v>2.09</v>
      </c>
      <c r="BN11" s="73" t="s">
        <v>118</v>
      </c>
      <c r="BO11" s="73" t="str">
        <f t="shared" si="0"/>
        <v>without including</v>
      </c>
      <c r="BP11" s="75">
        <f>11*0+11.7*0+12.55*0+12.45*0+12.6</f>
        <v>12.6</v>
      </c>
      <c r="BQ11" s="75">
        <f>13.6*0+14.2*0+14.9*0+14.9*0+15.05</f>
        <v>15.05</v>
      </c>
      <c r="BR11" s="73"/>
      <c r="BS11" s="74" t="str">
        <f>BL11</f>
        <v>Dominican Republic</v>
      </c>
      <c r="BT11" s="73"/>
      <c r="BU11" s="73"/>
      <c r="BV11" s="73"/>
      <c r="BW11" s="75">
        <f>7.15*0+7.3*0+7.75*0+7.85*0+8.15</f>
        <v>8.15</v>
      </c>
      <c r="BX11" s="75">
        <f>9.75*0+9.8*0+10.1*0+10.3*0+10.6</f>
        <v>10.6</v>
      </c>
      <c r="BY11" s="74" t="str">
        <f>BL11</f>
        <v>Dominican Republic</v>
      </c>
      <c r="BZ11" s="75">
        <f>4.45*0+4.87*0+4.57*0+4.4</f>
        <v>4.4000000000000004</v>
      </c>
      <c r="CA11" s="75">
        <f>4.45*0+4.87*0+4.57*0+4.4</f>
        <v>4.4000000000000004</v>
      </c>
      <c r="CB11" s="73" t="s">
        <v>122</v>
      </c>
    </row>
    <row r="12" spans="1:153" ht="66" customHeight="1" x14ac:dyDescent="0.3">
      <c r="A12" s="29"/>
      <c r="B12" s="107" t="str">
        <f>IF(OR(ISBLANK($D$2),ISBLANK($C$8),ISBLANK($C$9),ISBLANK($C$10)),"",
IF($AQ$8,VLOOKUP($D$2,$AZ$4:$BA$7,2,FALSE),
IF($D$2=$CJ$4,CO12,
IF($D$2=$CJ$5,CP12,
IF($D$2=$CJ$6,CQ12,
CR12)))))</f>
        <v/>
      </c>
      <c r="C12" s="107"/>
      <c r="D12" s="107"/>
      <c r="E12" s="30"/>
      <c r="G12" s="58"/>
      <c r="AO12" s="62" t="b">
        <f>IF(OR(B12=CW12,B12=CX12,B12=CY12,B12=CZ12,B12=BA4,B12=BA5,B12=BA6,B12=BA7),TRUE,FALSE)</f>
        <v>0</v>
      </c>
      <c r="AR12" s="77"/>
      <c r="AZ12" s="63"/>
      <c r="BD12" s="80" t="s">
        <v>5</v>
      </c>
      <c r="BE12" s="81" t="s">
        <v>39</v>
      </c>
      <c r="BF12" s="81" t="s">
        <v>5</v>
      </c>
      <c r="BG12" s="81" t="s">
        <v>37</v>
      </c>
      <c r="BH12" s="62" t="s">
        <v>19</v>
      </c>
      <c r="BI12" s="62" t="str">
        <f>BL13</f>
        <v>Cameroon</v>
      </c>
      <c r="BL12" s="73" t="str">
        <f>IF(ISBLANK($D$2),"",
IF($D$2=$CJ$4,BD18,
IF($D$2=$CJ$5,BE18,
IF($D$2=$CJ$6,BF18,
BG18))))</f>
        <v>Nicaragua</v>
      </c>
      <c r="BM12" s="74">
        <f>1.34*0+1.33*0+1.59*0+1.9*0+1.65</f>
        <v>1.65</v>
      </c>
      <c r="BN12" s="73" t="s">
        <v>119</v>
      </c>
      <c r="BO12" s="73" t="str">
        <f>IF($D$2=$CJ$4,$BD$20,
IF($D$2=$CJ$5,$BE$20,
IF($D$2=$CJ$6,$BF$20,
$BG$20)))</f>
        <v>without including</v>
      </c>
      <c r="BP12" s="75">
        <f>9.4*0+9.9*0+10.35*0+10.85*0+10.85</f>
        <v>10.85</v>
      </c>
      <c r="BQ12" s="74"/>
      <c r="BR12" s="73"/>
      <c r="BS12" s="74" t="str">
        <f>BL12</f>
        <v>Nicaragua</v>
      </c>
      <c r="BT12" s="73"/>
      <c r="BU12" s="73"/>
      <c r="BV12" s="73"/>
      <c r="BW12" s="75">
        <f>6.85*0+6.85*0+6.85*0+7.15*0+7.25</f>
        <v>7.25</v>
      </c>
      <c r="BX12" s="74"/>
      <c r="BY12" s="74" t="str">
        <f>BL12</f>
        <v>Nicaragua</v>
      </c>
      <c r="BZ12" s="75">
        <f>3.5*0+4.84*0+4.59*0+4.97</f>
        <v>4.97</v>
      </c>
      <c r="CA12" s="74"/>
      <c r="CB12" s="73" t="s">
        <v>155</v>
      </c>
      <c r="CE12" s="70"/>
      <c r="CO12" s="62" t="str">
        <f>IF($BQ$14=FALSE,"",
IF(ISERROR($BP$14),VLOOKUP($D$2,$AZ$4:$BA$7,2,FALSE),
IF(OR($BP$14=0,BN17=FALSE),"Prorate cannot run. This tool only prorates prices set for country specific Fairtrade Minimum Prices for banana. There is no country specific Fairtrade Minimum Price for "&amp;BN16&amp;" banana from "&amp;$C$8,"")))</f>
        <v/>
      </c>
      <c r="CP12" s="62" t="str">
        <f>IF($BQ$14=FALSE,"",
IF(ISERROR($BP$14),VLOOKUP($D$2,$AZ$4:$BA$7,2,FALSE),
IF(OR($BP$14=0,BN17=FALSE),"Le prorata ne peut pas courir. L'outil ne fait qu'établir au prorata le prix fixé pour les prix minimums Fairtrade spécifiques à chaque pays pour la banane. Il n'existe pas de prix minimum du Fairtrade spécifique à un pays pour les bananes "&amp;BN16&amp;" de "&amp;$C$8,"")))</f>
        <v/>
      </c>
      <c r="CQ12" s="62" t="str">
        <f>IF($BQ$14=FALSE,"",
IF(ISERROR($BP$14),VLOOKUP($D$2,$AZ$4:$BA$7,2,FALSE),
IF(OR($BP$14=0,BN17=FALSE),"O prorato não pode funcionar. O instrumento apenas prorroga os preços estabelecidos para os preços mínimos de comércio equitativo específicos do país para a banana. Não existe um preço mínimo de comércio equitativo específico de um país para "&amp;BN16&amp;" de "&amp;$C$8,"")))</f>
        <v/>
      </c>
      <c r="CR12" s="62" t="str">
        <f>IF($BQ$14=FALSE,"",
IF(ISERROR($BP$14),VLOOKUP($D$2,$AZ$4:$BA$7,2,FALSE),
IF(OR($BP$14=0,BN17=FALSE),"El prorrateo no se puede llevar a cabo. Esta herramienta sólo prorratea los Precios Mínimos Fairtrade de banano para países específicos. No existe un Precio Mínimo para banana "&amp;BN16&amp;" de "&amp;$C$8,"")))</f>
        <v/>
      </c>
      <c r="CS12" s="62" t="s">
        <v>19</v>
      </c>
      <c r="CW12" s="62" t="str">
        <f>"Prorate cannot run. This tool only prorates prices set for country specific Fairtrade Minimum Prices for banana. There is no country specific Fairtrade Minimum Price for "&amp;BN16&amp;" banana from "&amp;$C$8</f>
        <v xml:space="preserve">Prorate cannot run. This tool only prorates prices set for country specific Fairtrade Minimum Prices for banana. There is no country specific Fairtrade Minimum Price for organic banana from </v>
      </c>
      <c r="CX12" s="62" t="str">
        <f>"Le prorata ne peut pas courir. L'outil ne fait qu'établir au prorata le prix fixé pour les prix minimums Fairtrade spécifiques à chaque pays pour la banane. Il n'existe pas de prix minimum du Fairtrade spécifique à un pays pour les bananes "&amp;BN16&amp;" de "&amp;$C$8</f>
        <v xml:space="preserve">Le prorata ne peut pas courir. L'outil ne fait qu'établir au prorata le prix fixé pour les prix minimums Fairtrade spécifiques à chaque pays pour la banane. Il n'existe pas de prix minimum du Fairtrade spécifique à un pays pour les bananes organic de </v>
      </c>
      <c r="CY12" s="62" t="str">
        <f>"O prorato não pode funcionar. O instrumento apenas prorroga os preços estabelecidos para os preços mínimos de comércio equitativo específicos do país para a banana. Não existe um preço mínimo de comércio equitativo específico de um país para "&amp;BN16&amp;" de "&amp;$C$8</f>
        <v xml:space="preserve">O prorato não pode funcionar. O instrumento apenas prorroga os preços estabelecidos para os preços mínimos de comércio equitativo específicos do país para a banana. Não existe um preço mínimo de comércio equitativo específico de um país para organic de </v>
      </c>
      <c r="CZ12" s="62" t="str">
        <f>"El prorrateo no se puede llevar a cabo. Esta herramienta sólo prorratea los Precios Mínimos Fairtrade de banano para países específicos. No existe un Precio Mínimo para banana "&amp;BN16&amp;" de "&amp;$C$8</f>
        <v xml:space="preserve">El prorrateo no se puede llevar a cabo. Esta herramienta sólo prorratea los Precios Mínimos Fairtrade de banano para países específicos. No existe un Precio Mínimo para banana organic de </v>
      </c>
      <c r="DA12" s="62" t="s">
        <v>19</v>
      </c>
    </row>
    <row r="13" spans="1:153" ht="9" customHeight="1" thickBot="1" x14ac:dyDescent="0.35">
      <c r="A13" s="29"/>
      <c r="B13" s="24"/>
      <c r="C13" s="24"/>
      <c r="D13" s="24"/>
      <c r="E13" s="30"/>
      <c r="AO13" s="62" t="b">
        <f>ISERROR(VLOOKUP(C10,CL4:CL6,1,FALSE))</f>
        <v>0</v>
      </c>
      <c r="AZ13" s="63"/>
      <c r="BD13" s="80" t="s">
        <v>0</v>
      </c>
      <c r="BE13" s="81" t="s">
        <v>40</v>
      </c>
      <c r="BF13" s="81" t="s">
        <v>43</v>
      </c>
      <c r="BG13" s="81" t="s">
        <v>0</v>
      </c>
      <c r="BL13" s="73" t="str">
        <f>IF(ISBLANK($D$2),"",
IF($D$2=$CJ$4,BD19,
IF($D$2=$CJ$5,BE19,
IF($D$2=$CJ$6,BF19,
BG19))))</f>
        <v>Cameroon</v>
      </c>
      <c r="BM13" s="74">
        <f>1.73*0+2.05*0+1.71*0+1.45</f>
        <v>1.45</v>
      </c>
      <c r="BN13" s="73" t="s">
        <v>120</v>
      </c>
      <c r="BO13" s="73" t="str">
        <f>IF($D$2=$CJ$4,$BD$20,
IF($D$2=$CJ$5,$BE$20,
IF($D$2=$CJ$6,$BF$20,
$BG$20)))</f>
        <v>without including</v>
      </c>
      <c r="BP13" s="75">
        <f>9.3*0+10.35*0+10.2*0+10.5</f>
        <v>10.5</v>
      </c>
      <c r="BQ13" s="74"/>
      <c r="BS13" s="74" t="str">
        <f>BL13</f>
        <v>Cameroon</v>
      </c>
      <c r="BU13" s="82"/>
      <c r="BW13" s="75">
        <f>6.8*0+7.25*0+7.3*0+7.75</f>
        <v>7.75</v>
      </c>
      <c r="BX13" s="74"/>
      <c r="BY13" s="74" t="str">
        <f>BL13</f>
        <v>Cameroon</v>
      </c>
      <c r="BZ13" s="74"/>
      <c r="CA13" s="74"/>
      <c r="CB13" s="73"/>
    </row>
    <row r="14" spans="1:153" ht="33" customHeight="1" thickBot="1" x14ac:dyDescent="0.35">
      <c r="A14" s="29"/>
      <c r="B14" s="109" t="str">
        <f>IF(OR($AQ$8,ISBLANK($D$2),B12&lt;&gt;""),"",
IF($D$2=$CJ$4,CO14,
IF($D$2=$CJ$5,CP14,
IF($D$2=$CJ$6,CQ14,
CR14))))</f>
        <v/>
      </c>
      <c r="C14" s="110"/>
      <c r="D14" s="111"/>
      <c r="E14" s="30"/>
      <c r="G14" s="58"/>
      <c r="AZ14" s="63"/>
      <c r="BD14" s="80" t="s">
        <v>1</v>
      </c>
      <c r="BE14" s="81" t="s">
        <v>41</v>
      </c>
      <c r="BF14" s="81" t="s">
        <v>44</v>
      </c>
      <c r="BG14" s="81" t="s">
        <v>1</v>
      </c>
      <c r="BJ14" s="63" t="b">
        <f>IF(OR(ISBLANK(C22),ISBLANK(C23)),TRUE,FALSE)</f>
        <v>1</v>
      </c>
      <c r="BK14" s="83" t="s">
        <v>148</v>
      </c>
      <c r="BL14" s="63" t="str">
        <f>IF($BQ$14=FALSE,"",VLOOKUP($C$8,$BL$5:$BM$13,1,FALSE))</f>
        <v/>
      </c>
      <c r="BM14" s="63" t="str">
        <f>IF($BQ$14=FALSE,"",VLOOKUP($C$8,$BL$5:$BM$13,2,FALSE))</f>
        <v/>
      </c>
      <c r="BN14" s="63" t="str">
        <f>IF($C$9=$BR$5,BH21,BH22)</f>
        <v>organic Fairtrade banana</v>
      </c>
      <c r="BP14" s="84" t="str">
        <f>IF($BQ$14=FALSE,"",
IF($C$9=$BR$5,VLOOKUP($C$8,$BL$5:$BQ$13,5,FALSE),
VLOOKUP($C$8,$BL$5:$BQ$13,6,FALSE)))</f>
        <v/>
      </c>
      <c r="BQ14" s="63" t="b">
        <f>AND(ISBLANK(C8)=FALSE,ISBLANK(C9)=FALSE,ISBLANK(C11)=FALSE)</f>
        <v>0</v>
      </c>
      <c r="BR14" s="63" t="s">
        <v>150</v>
      </c>
      <c r="BW14" s="84" t="str">
        <f>IF($BQ$14=FALSE,"",IF($C$9=$BR$5,VLOOKUP($C$8,$BL$5:$BX$13,12,FALSE),
VLOOKUP($C$8,$BL$5:$BX$13,13,FALSE)))</f>
        <v/>
      </c>
      <c r="CH14" s="64"/>
      <c r="CO14" s="62" t="str">
        <f>"EXAMPLE:
  PRORATE TO SPECIAL CARTON BOX "&amp;IF(ISBLANK($C$22),"OF __ kg (PLEASE ENTER THE WEIGHT IN KILOGRAMS IN THE EMPTY CELL)","OF "&amp;$C$22&amp;"kg FOR BANANA")</f>
        <v>EXAMPLE:
  PRORATE TO SPECIAL CARTON BOX OF __ kg (PLEASE ENTER THE WEIGHT IN KILOGRAMS IN THE EMPTY CELL)</v>
      </c>
      <c r="CP14" s="62" t="str">
        <f>"EXEMPLE:
RÉPARTITION POUR LA BOÎTE EN CARTON SPÉCIALE "&amp;IF(ISBLANK($C$22),"DE __ kg (ENTREZ LE POIDS EN KILOGRAMMES DANS LA CELLULE VIDE)","DE "&amp;$C$22&amp;"kg DE BANANE FRAÎCHE")</f>
        <v>EXEMPLE:
RÉPARTITION POUR LA BOÎTE EN CARTON SPÉCIALE DE __ kg (ENTREZ LE POIDS EN KILOGRAMMES DANS LA CELLULE VIDE)</v>
      </c>
      <c r="CQ14" s="62" t="str">
        <f>"EXEMPLO:
REPARTIÇÃO PARA A CAIXA DE CARTÃO ESPECIAL "&amp;IF(ISBLANK($C$22),"DE __ kg (INTRODUZIR PESO EM QUILOGRAMAS NA CÉLULA VAZIA)","DE "&amp;$C$22&amp;"kg DE BANANA FRESCA")</f>
        <v>EXEMPLO:
REPARTIÇÃO PARA A CAIXA DE CARTÃO ESPECIAL DE __ kg (INTRODUZIR PESO EM QUILOGRAMAS NA CÉLULA VAZIA)</v>
      </c>
      <c r="CR14" s="62" t="str">
        <f>"EJEMPLO:
  PRORRATEO PARA LA CAJA DE CARTÓN ESPECIAL "&amp;IF(ISBLANK($C$22),"DE __ kg (INGRESE EL PESO EN KILOGRAMOS EN LA CELDA VACÍA)","DE "&amp;$C$22&amp;"kg DE BANANO FRESCO")</f>
        <v>EJEMPLO:
  PRORRATEO PARA LA CAJA DE CARTÓN ESPECIAL DE __ kg (INGRESE EL PESO EN KILOGRAMOS EN LA CELDA VACÍA)</v>
      </c>
    </row>
    <row r="15" spans="1:153" ht="15" customHeight="1" x14ac:dyDescent="0.3">
      <c r="A15" s="29"/>
      <c r="B15" s="5" t="str">
        <f>IF(OR($AQ$8,ISBLANK($D$2)),"",
IF($D$2=$CJ$4,CO15,
IF($D$2=$CJ$5,CP15,
IF($D$2=$CJ$6,CQ15,
CR15))))</f>
        <v/>
      </c>
      <c r="C15" s="6"/>
      <c r="D15" s="7"/>
      <c r="E15" s="30"/>
      <c r="AO15" s="62" t="str">
        <f>BA15&amp;AZ17</f>
        <v>Englishbanane conventionnelle du commerce équitable</v>
      </c>
      <c r="AP15" s="62" t="str">
        <f>AZ15</f>
        <v>conventional Fairtrade banana</v>
      </c>
      <c r="AQ15" s="63" t="s">
        <v>19</v>
      </c>
      <c r="AX15" s="62" t="s">
        <v>132</v>
      </c>
      <c r="AY15" s="63" t="str">
        <f t="shared" ref="AY15:AY30" si="1">BA15&amp;AZ15</f>
        <v>Englishconventional Fairtrade banana</v>
      </c>
      <c r="AZ15" s="85" t="str">
        <f>BD21</f>
        <v>conventional Fairtrade banana</v>
      </c>
      <c r="BA15" s="86" t="str">
        <f>BD4</f>
        <v>English</v>
      </c>
      <c r="BD15" s="80" t="s">
        <v>84</v>
      </c>
      <c r="BE15" s="81" t="s">
        <v>85</v>
      </c>
      <c r="BF15" s="81" t="s">
        <v>86</v>
      </c>
      <c r="BG15" s="81" t="s">
        <v>87</v>
      </c>
      <c r="BK15" s="83" t="s">
        <v>149</v>
      </c>
      <c r="BL15" s="63" t="str">
        <f>BL14</f>
        <v/>
      </c>
      <c r="BN15" s="63">
        <f>C9</f>
        <v>0</v>
      </c>
      <c r="CO15" s="62" t="s">
        <v>21</v>
      </c>
      <c r="CP15" s="62" t="s">
        <v>55</v>
      </c>
      <c r="CQ15" s="62" t="s">
        <v>56</v>
      </c>
      <c r="CR15" s="62" t="s">
        <v>35</v>
      </c>
    </row>
    <row r="16" spans="1:153" ht="36.6" customHeight="1" x14ac:dyDescent="0.3">
      <c r="A16" s="29"/>
      <c r="B16" s="8" t="str">
        <f>IF(OR($AQ$8,ISBLANK($D$2),B12&lt;&gt;""),"",
IF($D$2=$CJ$4,CO16,
IF($D$2=$CJ$5,CP16,
IF($D$2=$CJ$6,CQ16,
CR16))))</f>
        <v/>
      </c>
      <c r="C16" s="51" t="str">
        <f>IF(OR($AQ$8,ISBLANK($D$2),B12&lt;&gt;""),"",
IF($BP$14=0,"",CB114))</f>
        <v/>
      </c>
      <c r="D16" s="52" t="str">
        <f>IF(OR($AQ$8,ISBLANK($D$2),B12&lt;&gt;""),"",
IF(BQ14=FALSE,"",
IF($BP$14=0,"",
IF(OR($C$8=BD16,$C$8=BE16,$C$8=BF16,$C$8=BG16,$C$8=BD19,$C$8=BE19,$C$8=BF19,$C$8=BG19),"EUR/box"&amp;$C$17&amp;"kg",
"USD/box"&amp;$C$17&amp;"kg"))))</f>
        <v/>
      </c>
      <c r="E16" s="30"/>
      <c r="AO16" s="62" t="str">
        <f>BA16&amp;AZ18</f>
        <v>Englishbanane biologique du commerce équitable</v>
      </c>
      <c r="AP16" s="62" t="str">
        <f>AZ16</f>
        <v>organic Fairtrade banana</v>
      </c>
      <c r="AQ16" s="63" t="s">
        <v>19</v>
      </c>
      <c r="AY16" s="63" t="str">
        <f t="shared" si="1"/>
        <v>Englishorganic Fairtrade banana</v>
      </c>
      <c r="AZ16" s="85" t="str">
        <f>BD22</f>
        <v>organic Fairtrade banana</v>
      </c>
      <c r="BA16" s="86" t="str">
        <f>BD4</f>
        <v>English</v>
      </c>
      <c r="BD16" s="80" t="s">
        <v>88</v>
      </c>
      <c r="BE16" s="81" t="s">
        <v>88</v>
      </c>
      <c r="BF16" s="81" t="s">
        <v>93</v>
      </c>
      <c r="BG16" s="81" t="s">
        <v>93</v>
      </c>
      <c r="BN16" s="63" t="str">
        <f>IF($C$9=$BR$5,BH24,BH23)</f>
        <v>organic</v>
      </c>
      <c r="CO16" s="62" t="str">
        <f>IF(BQ14=FALSE,"",
IF($BP$14=0,"",
"• Price of the standard carton box ("&amp;VLOOKUP($C$8,$BL$5:$BO$13,4,FALSE)&amp;" the value added tax), that was used as reference in "&amp;BK4-1&amp;", for estimating the Fairtrade Minimum Price for Fairtrade banana from "&amp;$BL$14&amp;":"))</f>
        <v/>
      </c>
      <c r="CP16" s="62" t="str">
        <f>IF(BQ14=FALSE,"",
IF($BP$14=0,"",
"• Prix d'une boîte en carton standard ("&amp;VLOOKUP($C$8,$BL$5:$BO$13,4,FALSE)&amp;" o imposto sobre o valor acrescentado), qui a été utilisé de référence dans "&amp;BK4-1&amp;", pour estimer le prix minimum Fairtrade pour les bananes Fairtrade de "&amp;$BL$14&amp;":"))</f>
        <v/>
      </c>
      <c r="CQ16" s="62" t="str">
        <f>IF(BQ14=FALSE,"",
IF($BP$14=0,"",
"• Preço standard da caixa de cartão ("&amp;VLOOKUP($C$8,$BL$5:$BO$13,4,FALSE)&amp;" o imposto sobre o valor acrescentado), que foi utilizado como referência en "&amp;BK4-1&amp;", para estimar o Preço Mínimo de Comércio Justo para bananas de Comércio Justo de "&amp;$BL$14&amp;":"))</f>
        <v/>
      </c>
      <c r="CR16" s="62" t="str">
        <f>IF(BQ14=FALSE,"",
IF($BP$14=0,"",
"• Precio de la caja de cartón estándar ("&amp;VLOOKUP($C$8,$BL$5:$BO$13,4,FALSE)&amp;" el impuesto al valor agregado), que se utilizó como referencia en "&amp;BK4-1&amp;", para estimar el Precio Mínimo Fairtrade para banano Fairtrade de "&amp;$BL$14&amp;":"))</f>
        <v/>
      </c>
    </row>
    <row r="17" spans="1:96" ht="36.6" customHeight="1" x14ac:dyDescent="0.3">
      <c r="A17" s="29"/>
      <c r="B17" s="10" t="str">
        <f>IF(OR($AQ$8,ISBLANK($D$2),B12&lt;&gt;""),"",
IF($D$2=$CJ$4,CO17,
IF($D$2=$CJ$5,CP17,
IF($D$2=$CJ$6,CQ17,
CR17))))</f>
        <v/>
      </c>
      <c r="C17" s="53" t="str">
        <f>IF(OR($AQ$8,ISBLANK($D$2),B12&lt;&gt;""),"",
IF(BQ14=FALSE,"",
IF($BP$14=0,"",
18.14)))</f>
        <v/>
      </c>
      <c r="D17" s="54" t="str">
        <f>IF(OR($AQ$8,ISBLANK($D$2),B12&lt;&gt;""),"",
IF(BQ14=FALSE,"",
IF($BP$14=0,"",
"kg")))</f>
        <v/>
      </c>
      <c r="E17" s="30"/>
      <c r="AO17" s="62" t="str">
        <f>BA15&amp;AZ19</f>
        <v>Englishbanana convencional de comércio justo</v>
      </c>
      <c r="AP17" s="62" t="str">
        <f>AP15</f>
        <v>conventional Fairtrade banana</v>
      </c>
      <c r="AQ17" s="63" t="s">
        <v>19</v>
      </c>
      <c r="AY17" s="63" t="str">
        <f t="shared" si="1"/>
        <v>Françaisbanane conventionnelle du commerce équitable</v>
      </c>
      <c r="AZ17" s="85" t="str">
        <f>BE21</f>
        <v>banane conventionnelle du commerce équitable</v>
      </c>
      <c r="BA17" s="86" t="str">
        <f>BE4</f>
        <v>Français</v>
      </c>
      <c r="BD17" s="80" t="s">
        <v>6</v>
      </c>
      <c r="BE17" s="81" t="s">
        <v>42</v>
      </c>
      <c r="BF17" s="81" t="s">
        <v>38</v>
      </c>
      <c r="BG17" s="81" t="s">
        <v>38</v>
      </c>
      <c r="BH17" s="62" t="s">
        <v>19</v>
      </c>
      <c r="BN17" s="65" t="b">
        <f>BN15=BN14</f>
        <v>0</v>
      </c>
      <c r="CO17" s="62" t="str">
        <f>IF(BQ14=FALSE,"",
IF($BP$14=0,"",
"• Banana volume per standard carton box (that was used as unit of measurement for estimating the Fairtrade Minimum Price for Fairtrade banana from "&amp;$BL$14&amp;"):"))</f>
        <v/>
      </c>
      <c r="CP17" s="62" t="str">
        <f>IF(BQ14=FALSE,"",
IF($BP$14=0,"",
"• Volume de bananes par carton standard (qui a été utilisé comme unité de mesure pour estimer le prix minimum du commerce équitable pour les bananes Fairtrade de "&amp;$BL$14&amp;"):"))</f>
        <v/>
      </c>
      <c r="CQ17" s="62" t="str">
        <f>IF(BQ14=FALSE,"",
IF($BP$14=0,"",
"• Volume de bananas por caixa padrão (que foi utilizada como unidade de medida para estimar o Preço Mínimo de Comércio Justo para bananas de Comércio Justo de "&amp;$BL$14&amp;"):"))</f>
        <v/>
      </c>
      <c r="CR17" s="62" t="str">
        <f>IF(BQ14=FALSE,"",
IF($BP$14=0,"",
"• Volumen de banano por caja de cartón estándar (que se utilizó como unidad de medida para estimar el Precio Mínimo Fairtrade para banano Fairtrade de "&amp;$BL$14&amp;"):"))</f>
        <v/>
      </c>
    </row>
    <row r="18" spans="1:96" ht="16.8" customHeight="1" x14ac:dyDescent="0.3">
      <c r="A18" s="29"/>
      <c r="B18" s="12" t="str">
        <f>IF(OR($AQ$8,ISBLANK($D$2)),"",
IF($D$2=$CJ$4,CO18,
IF($D$2=$CJ$5,CP18,
IF($D$2=$CJ$6,CQ18,
CR18))))</f>
        <v/>
      </c>
      <c r="C18" s="51"/>
      <c r="D18" s="52"/>
      <c r="E18" s="30"/>
      <c r="AO18" s="62" t="str">
        <f>BA16&amp;AZ20</f>
        <v>Englishbanana biológica de comércio justo</v>
      </c>
      <c r="AP18" s="62" t="str">
        <f t="shared" ref="AP18:AP20" si="2">AP16</f>
        <v>organic Fairtrade banana</v>
      </c>
      <c r="AQ18" s="63" t="s">
        <v>19</v>
      </c>
      <c r="AY18" s="63" t="str">
        <f t="shared" si="1"/>
        <v>Françaisbanane biologique du commerce équitable</v>
      </c>
      <c r="AZ18" s="85" t="str">
        <f>BE22</f>
        <v>banane biologique du commerce équitable</v>
      </c>
      <c r="BA18" s="86" t="str">
        <f>BE4</f>
        <v>Français</v>
      </c>
      <c r="BD18" s="80" t="s">
        <v>3</v>
      </c>
      <c r="BE18" s="81" t="s">
        <v>3</v>
      </c>
      <c r="BF18" s="81" t="s">
        <v>45</v>
      </c>
      <c r="BG18" s="81" t="s">
        <v>3</v>
      </c>
      <c r="CO18" s="62" t="s">
        <v>10</v>
      </c>
      <c r="CP18" s="62" t="s">
        <v>58</v>
      </c>
      <c r="CQ18" s="62" t="s">
        <v>57</v>
      </c>
      <c r="CR18" s="62" t="s">
        <v>26</v>
      </c>
    </row>
    <row r="19" spans="1:96" ht="36.6" customHeight="1" x14ac:dyDescent="0.3">
      <c r="A19" s="29"/>
      <c r="B19" s="8" t="str">
        <f>IF(OR($AQ$8,ISBLANK($D$2),B12&lt;&gt;""),"",
IF($D$2=$CJ$4,CO19,
IF($D$2=$CJ$5,CP19,
IF($D$2=$CJ$6,CQ19,
CR19))))</f>
        <v/>
      </c>
      <c r="C19" s="55" t="str">
        <f>IF(OR($AQ$8,ISBLANK($D$2)),"",
$CD$114)</f>
        <v/>
      </c>
      <c r="D19" s="52" t="str">
        <f>D16</f>
        <v/>
      </c>
      <c r="E19" s="30"/>
      <c r="F19" s="59"/>
      <c r="G19" s="59"/>
      <c r="AO19" s="62" t="str">
        <f>BA15&amp;AZ21</f>
        <v>Englishbanano Fairtrade convencional</v>
      </c>
      <c r="AP19" s="62" t="str">
        <f t="shared" si="2"/>
        <v>conventional Fairtrade banana</v>
      </c>
      <c r="AQ19" s="63" t="s">
        <v>19</v>
      </c>
      <c r="AY19" s="63" t="str">
        <f>BA19&amp;AZ19</f>
        <v>Portuguêsbanana convencional de comércio justo</v>
      </c>
      <c r="AZ19" s="85" t="str">
        <f>BF21</f>
        <v>banana convencional de comércio justo</v>
      </c>
      <c r="BA19" s="86" t="str">
        <f>BF4</f>
        <v>Português</v>
      </c>
      <c r="BD19" s="62" t="s">
        <v>89</v>
      </c>
      <c r="BE19" s="62" t="s">
        <v>91</v>
      </c>
      <c r="BF19" s="62" t="s">
        <v>92</v>
      </c>
      <c r="BG19" s="62" t="s">
        <v>90</v>
      </c>
      <c r="CK19" s="87"/>
      <c r="CO19" s="62" t="str">
        <f>IF(BQ14=FALSE,"",
IF($BP$14=0,"",
"• "&amp;$C$11&amp;" Fairtrade Minimum Price "&amp;$BK$4&amp;", in US dollars per box of 18.14kg of "&amp;$C$9&amp;" from "&amp;$BL$14&amp;":"))</f>
        <v/>
      </c>
      <c r="CP19" s="62" t="str">
        <f>IF(BQ14=FALSE,"",
IF($BP$14=0,"",
"• Prix minimum Fairtrade "&amp;$C$11&amp;" "&amp;$BK$4&amp;", en dollars US par cas de 18.14kg de "&amp;$C$9&amp;" de "&amp;$BL$14&amp;":"))</f>
        <v/>
      </c>
      <c r="CQ19" s="62" t="str">
        <f>IF(BQ14=FALSE,"",
IF($BP$14=0,"",
"• Preço Mínimo de Comércio Justo "&amp;$C$11&amp;" "&amp;$BK$4&amp;", em dólares americanos por caixa de 18.14kg de "&amp;$C$9&amp;" de "&amp;$BL$14&amp;":"))</f>
        <v/>
      </c>
      <c r="CR19" s="62" t="str">
        <f>IF(BQ14=FALSE,"",
IF($BP$14=0,"",
"• Precio Mínimo Fairtrade "&amp;$C$11&amp;" "&amp;$BK$4&amp;", en US dólares por caja de 18.14kg de "&amp;$C$9&amp;" de "&amp;$BL$14&amp;":"))</f>
        <v/>
      </c>
    </row>
    <row r="20" spans="1:96" ht="36.6" customHeight="1" x14ac:dyDescent="0.3">
      <c r="A20" s="29"/>
      <c r="B20" s="10" t="str">
        <f>IF(OR($AQ$8,ISBLANK($D$2),B19=""),"",
IF($D$2=$CJ$4,CO20,
IF($D$2=$CJ$5,CP20,
IF($D$2=$CJ$6,CQ20,
CR20))))</f>
        <v/>
      </c>
      <c r="C20" s="56" t="str">
        <f>IF(OR($AQ$8,ISBLANK($D$2)),"",
$CC$114)</f>
        <v/>
      </c>
      <c r="D20" s="54" t="str">
        <f>IF(BQ14=FALSE,"",
IF(OR($C$11=$BV$6,$C$19=""),"",D19))</f>
        <v/>
      </c>
      <c r="E20" s="30"/>
      <c r="AO20" s="62" t="str">
        <f>BA16&amp;AZ22</f>
        <v xml:space="preserve">Englishbanano Fairtrade orgánico </v>
      </c>
      <c r="AP20" s="62" t="str">
        <f t="shared" si="2"/>
        <v>organic Fairtrade banana</v>
      </c>
      <c r="AQ20" s="63" t="s">
        <v>19</v>
      </c>
      <c r="AY20" s="63" t="str">
        <f>BA20&amp;AZ20</f>
        <v>Portuguêsbanana biológica de comércio justo</v>
      </c>
      <c r="AZ20" s="85" t="str">
        <f>BF22</f>
        <v>banana biológica de comércio justo</v>
      </c>
      <c r="BA20" s="86" t="str">
        <f>BF4</f>
        <v>Português</v>
      </c>
      <c r="BD20" s="88" t="s">
        <v>12</v>
      </c>
      <c r="BE20" s="88" t="s">
        <v>49</v>
      </c>
      <c r="BF20" s="88" t="s">
        <v>46</v>
      </c>
      <c r="BG20" s="88" t="s">
        <v>32</v>
      </c>
      <c r="BL20" s="89"/>
      <c r="CK20" s="90"/>
      <c r="CO20" s="62" t="str">
        <f>IF(BQ14=FALSE,"",
IF(OR($C$11=$BV$6,$AQ$8,ISBLANK($D$2)),"",
"• Ex Works Fairtrade Minimum Price "&amp;$BK$4&amp;", in US dollars per box of 18.14kg of "&amp;$C$9&amp;" from "&amp;$BL$14&amp;":"))</f>
        <v/>
      </c>
      <c r="CP20" s="62" t="str">
        <f>IF(BQ14=FALSE,"",
IF(OR($C$11=$BV$6,$AQ$8,ISBLANK($D$2)),"",
"• Prix minimum Fairtrade Ex Works "&amp;$BK$4&amp;", en dollars US par cas de 18.14kg de "&amp;$C$9&amp;" de "&amp;$BL$14&amp;":"))</f>
        <v/>
      </c>
      <c r="CQ20" s="62" t="str">
        <f>IF(BQ14=FALSE,"",
IF(OR($C$11=$BV$6,$AQ$8,ISBLANK($D$2)),"",
"• Preço Mínimo Fairtrade Ex Works "&amp;$BK$4&amp;", em dólares americanos por caixa de 18.14kg de "&amp;$C$9&amp;" de "&amp;$BL$14&amp;":"))</f>
        <v/>
      </c>
      <c r="CR20" s="62" t="str">
        <f>IF(BQ14=FALSE,"",
IF(OR($C$11=$BV$6,$AQ$8,ISBLANK($D$2)),"",
"• Precio Mínimo Fairtrade Ex Works "&amp;$BK$4&amp;", en US dólares por caja de 18.14kg de "&amp;$C$9&amp;" de "&amp;$BL$14&amp;":"))</f>
        <v/>
      </c>
    </row>
    <row r="21" spans="1:96" x14ac:dyDescent="0.3">
      <c r="A21" s="29"/>
      <c r="B21" s="14" t="str">
        <f>IF(OR($AQ$8,ISBLANK($D$2)),"",
IF($D$2=$CJ$4,CO21,
IF($D$2=$CJ$5,CP21,
IF($D$2=$CJ$6,CQ21,
CR21))))</f>
        <v/>
      </c>
      <c r="C21" s="13"/>
      <c r="D21" s="9"/>
      <c r="E21" s="30"/>
      <c r="AO21" s="62" t="str">
        <f>BA17&amp;AZ15</f>
        <v>Françaisconventional Fairtrade banana</v>
      </c>
      <c r="AP21" s="62" t="str">
        <f>AZ17</f>
        <v>banane conventionnelle du commerce équitable</v>
      </c>
      <c r="AQ21" s="63" t="s">
        <v>19</v>
      </c>
      <c r="AR21" s="62" t="s">
        <v>110</v>
      </c>
      <c r="AY21" s="63" t="str">
        <f>BA21&amp;AZ21</f>
        <v>Españolbanano Fairtrade convencional</v>
      </c>
      <c r="AZ21" s="85" t="str">
        <f>BG21</f>
        <v>banano Fairtrade convencional</v>
      </c>
      <c r="BA21" s="86" t="str">
        <f>BG4</f>
        <v>Español</v>
      </c>
      <c r="BD21" s="88" t="s">
        <v>8</v>
      </c>
      <c r="BE21" s="91" t="s">
        <v>50</v>
      </c>
      <c r="BF21" s="91" t="s">
        <v>47</v>
      </c>
      <c r="BG21" s="88" t="s">
        <v>33</v>
      </c>
      <c r="BH21" s="62" t="str">
        <f>IF($D$2=$CJ$4,BD21,
IF($D$2=$CJ$5,BE21,
IF($D$2=$CJ$6,BF21,
BG21)))</f>
        <v>conventional Fairtrade banana</v>
      </c>
      <c r="BJ21" s="63" t="str">
        <f>IF(OR(C9=BD21,C9=BE21,C9=BF21,C9=BG21),"conv","org")</f>
        <v>org</v>
      </c>
      <c r="CO21" s="62" t="s">
        <v>11</v>
      </c>
      <c r="CP21" s="62" t="s">
        <v>59</v>
      </c>
      <c r="CQ21" s="62" t="s">
        <v>60</v>
      </c>
      <c r="CR21" s="62" t="s">
        <v>27</v>
      </c>
    </row>
    <row r="22" spans="1:96" ht="33.6" customHeight="1" x14ac:dyDescent="0.3">
      <c r="A22" s="29"/>
      <c r="B22" s="15" t="str">
        <f>IF(OR($AQ$8,ISBLANK($D$2),B12&lt;&gt;""),"",
IF($D$2=$CJ$4,CO22,
IF($D$2=$CJ$5,CP22,
IF($D$2=$CJ$6,CQ22,
CR22))))</f>
        <v/>
      </c>
      <c r="C22" s="2"/>
      <c r="D22" s="9" t="str">
        <f>D17</f>
        <v/>
      </c>
      <c r="E22" s="30"/>
      <c r="AO22" s="62" t="str">
        <f>BA18&amp;AZ16</f>
        <v>Françaisorganic Fairtrade banana</v>
      </c>
      <c r="AP22" s="62" t="str">
        <f>AZ18</f>
        <v>banane biologique du commerce équitable</v>
      </c>
      <c r="AQ22" s="63" t="s">
        <v>19</v>
      </c>
      <c r="AR22" s="79"/>
      <c r="AU22" s="79"/>
      <c r="AY22" s="63" t="str">
        <f>BA22&amp;AZ22</f>
        <v xml:space="preserve">Españolbanano Fairtrade orgánico </v>
      </c>
      <c r="AZ22" s="85" t="str">
        <f>BG22</f>
        <v xml:space="preserve">banano Fairtrade orgánico </v>
      </c>
      <c r="BA22" s="86" t="str">
        <f>BG4</f>
        <v>Español</v>
      </c>
      <c r="BD22" s="88" t="s">
        <v>9</v>
      </c>
      <c r="BE22" s="91" t="s">
        <v>80</v>
      </c>
      <c r="BF22" s="91" t="s">
        <v>48</v>
      </c>
      <c r="BG22" s="88" t="s">
        <v>34</v>
      </c>
      <c r="BH22" s="62" t="str">
        <f>IF($D$2=$CJ$4,BD22,
IF($D$2=$CJ$5,BE22,
IF($D$2=$CJ$6,BF22,
BG22)))</f>
        <v>organic Fairtrade banana</v>
      </c>
      <c r="BN22" s="65"/>
      <c r="CO22" s="62" t="str">
        <f>IF(BQ14=FALSE,"",
IF($BP$14=0,"",
"• Banana volume per special carton box (for which the Fairtrade Minimum Price will be prorated):"))</f>
        <v/>
      </c>
      <c r="CP22" s="62" t="str">
        <f>IF(BQ14=FALSE,"",
IF($BP$14=0,"",
"• Volume de bananes par carton spécial (pour lequel le prix minimum Fairtrade sera calculé au prorata):"))</f>
        <v/>
      </c>
      <c r="CQ22" s="62" t="str">
        <f>IF(BQ14=FALSE,"",
IF($BP$14=0,"",
"• Volume de bananas por caixa especial (para a qual o Preço Mínimo de Comércio Justo será pro-rated):"))</f>
        <v/>
      </c>
      <c r="CR22" s="62" t="str">
        <f>IF(BQ14=FALSE,"",
IF($BP$14=0,"",
"• Volumen de banano por caja de cartón especial (para la cual el Precio Mínimo Fairtrade será prorrateado):"))</f>
        <v/>
      </c>
    </row>
    <row r="23" spans="1:96" ht="33.75" customHeight="1" x14ac:dyDescent="0.3">
      <c r="A23" s="29"/>
      <c r="B23" s="16" t="str">
        <f>IF(OR($AQ$8,ISBLANK($D$2),B12&lt;&gt;""),"",
IF($D$2=$CJ$4,CO23,
IF($D$2=$CJ$5,CP23,
IF($D$2=$CJ$6,CQ23,
CR23))))</f>
        <v/>
      </c>
      <c r="C23" s="3"/>
      <c r="D23" s="11" t="str">
        <f>IF(BQ14=FALSE,"",
IF(D16="","",
IF(ISBLANK($C$22),"",
IF(OR($C$8=BD16,$C$8=BE16,$C$8=BF16,$C$8=BG16,$C$8=BD19,$C$8=BE19,$C$8=BF19,$C$8=BG19),"EUR/box"&amp;$C$22&amp;"kg",
"USD/box"&amp;$C$22&amp;"kg"))))</f>
        <v/>
      </c>
      <c r="E23" s="30"/>
      <c r="AO23" s="62" t="str">
        <f>BA17&amp;AZ19</f>
        <v>Françaisbanana convencional de comércio justo</v>
      </c>
      <c r="AP23" s="62" t="str">
        <f>AP21</f>
        <v>banane conventionnelle du commerce équitable</v>
      </c>
      <c r="AQ23" s="63">
        <v>1</v>
      </c>
      <c r="AR23" s="65" t="str">
        <f t="shared" ref="AR23:AR31" si="3">BA23&amp;AZ32</f>
        <v>EnglishPanama</v>
      </c>
      <c r="AS23" s="63" t="str">
        <f t="shared" ref="AS23:AS31" si="4">AZ23</f>
        <v>Panama</v>
      </c>
      <c r="AT23" s="65" t="s">
        <v>94</v>
      </c>
      <c r="AU23" s="63" t="s">
        <v>96</v>
      </c>
      <c r="AV23" s="63"/>
      <c r="AX23" s="62" t="s">
        <v>133</v>
      </c>
      <c r="AY23" s="63" t="str">
        <f t="shared" si="1"/>
        <v>EnglishPanama</v>
      </c>
      <c r="AZ23" s="63" t="str">
        <f t="shared" ref="AZ23:AZ30" si="5">BD11</f>
        <v>Panama</v>
      </c>
      <c r="BA23" s="86" t="str">
        <f>BD4</f>
        <v>English</v>
      </c>
      <c r="BD23" s="62" t="s">
        <v>69</v>
      </c>
      <c r="BE23" s="62" t="s">
        <v>70</v>
      </c>
      <c r="BF23" s="62" t="s">
        <v>71</v>
      </c>
      <c r="BG23" s="62" t="s">
        <v>75</v>
      </c>
      <c r="BH23" s="62" t="str">
        <f>IF($D$2=$CJ$4,BD23,
IF($D$2=$CJ$5,BE23,
IF($D$2=$CJ$6,BF23,
BG23)))</f>
        <v>organic</v>
      </c>
      <c r="BN23" s="65"/>
      <c r="CO23" s="62" t="str">
        <f>IF(BQ14=FALSE,"",
IF($BP$14=0,"",
IF(ISBLANK($C$22),"",
IF($C$11=$BV$5,
"• Price of the special carton box ("&amp;VLOOKUP($C$8,$BL$5:$BO$13,4,FALSE)&amp;" the value added tax), paid by the producer that exports by themselves:",
IF($C$11=$BV$6,
"• Price of the special carton box ("&amp;VLOOKUP($C$8,$BL$5:$BO$13,4,FALSE)&amp;" the value added tax), paid by the producer at Ex Works level:")))))</f>
        <v/>
      </c>
      <c r="CP23" s="62" t="str">
        <f>IF(BQ14=FALSE,"",
IF($BP$14=0,"",
IF(ISBLANK($C$22),"",
IF($C$11=$BV$5,
"• Prix spécial pour les boîtes en carton ("&amp;VLOOKUP($C$8,$BL$5:$BO$13,4,FALSE)&amp;" la taxe sur la valeur ajoutée), payée par le producteur qui exporte lui-même:",
IF($C$11=$BV$6,
"• Prix spécial pour les boîtes en carton ("&amp;VLOOKUP($C$8,$BL$5:$BO$13,4,FALSE)&amp;" taxe sur la valeur ajoutée), payé par le producteur au niveau Ex Works:")))))</f>
        <v/>
      </c>
      <c r="CQ23" s="62" t="str">
        <f>IF(BQ14=FALSE,"",
IF($BP$14=0,"",
IF(ISBLANK($C$22),"",
IF($C$11=$BV$5,
"• Preço de caixa de cartão especial ("&amp;VLOOKUP($C$8,$BL$5:$BO$13,4,FALSE)&amp;" o imposto sobre o valor acrescentado), pago pelo próprio produtor que exporta:",
IF($C$11=$BV$6,
"• Preço de caixa de cartão especial ("&amp;VLOOKUP($C$8,$BL$5:$BO$13,4,FALSE)&amp;" imposto sobre o valor acrescentado), pago pelo produtor a nível de Ex Works:")))))</f>
        <v/>
      </c>
      <c r="CR23" s="62" t="str">
        <f>IF(BQ14=FALSE,"",
IF($BP$14=0,"",
IF(ISBLANK($C$22),"",
IF($C$11=$BV$5,
"• Precio de la caja de cartón especial ("&amp;VLOOKUP($C$8,$BL$5:$BO$13,4,FALSE)&amp;" el impuesto al valor agregado), pagado por el productor que exporta por sí mismo:",
IF($C$11=$BV$6,
"• Precio de la caja de cartón especial ("&amp;VLOOKUP($C$8,$BL$5:$BO$13,4,FALSE)&amp;" el impuesto al valor agregado), pagado por el productor a nivel Ex Works:")))))</f>
        <v/>
      </c>
    </row>
    <row r="24" spans="1:96" ht="15" customHeight="1" x14ac:dyDescent="0.3">
      <c r="A24" s="29"/>
      <c r="B24" s="17" t="str">
        <f t="shared" ref="B24" si="6">IF(OR($AQ$8,ISBLANK($D$2)),"",
IF($D$2=$CJ$4,CO24,
IF($D$2=$CJ$5,CP24,
IF($D$2=$CJ$6,CQ24,
CR24))))</f>
        <v/>
      </c>
      <c r="C24" s="20"/>
      <c r="D24" s="9"/>
      <c r="E24" s="30"/>
      <c r="AO24" s="62" t="str">
        <f>BA18&amp;AZ20</f>
        <v>Françaisbanana biológica de comércio justo</v>
      </c>
      <c r="AP24" s="62" t="str">
        <f t="shared" ref="AP24:AP26" si="7">AP22</f>
        <v>banane biologique du commerce équitable</v>
      </c>
      <c r="AQ24" s="63">
        <v>2</v>
      </c>
      <c r="AR24" s="63" t="str">
        <f t="shared" si="3"/>
        <v>EnglishPérou</v>
      </c>
      <c r="AS24" s="63" t="str">
        <f t="shared" si="4"/>
        <v>Peru</v>
      </c>
      <c r="AT24" s="63"/>
      <c r="AU24" s="63"/>
      <c r="AV24" s="63"/>
      <c r="AY24" s="63" t="str">
        <f t="shared" si="1"/>
        <v>EnglishPeru</v>
      </c>
      <c r="AZ24" s="63" t="str">
        <f t="shared" si="5"/>
        <v>Peru</v>
      </c>
      <c r="BA24" s="86" t="str">
        <f>BD4</f>
        <v>English</v>
      </c>
      <c r="BD24" s="62" t="s">
        <v>72</v>
      </c>
      <c r="BE24" s="62" t="s">
        <v>73</v>
      </c>
      <c r="BF24" s="62" t="s">
        <v>74</v>
      </c>
      <c r="BG24" s="62" t="s">
        <v>74</v>
      </c>
      <c r="BH24" s="62" t="str">
        <f>IF($D$2=$CJ$4,BD24,
IF($D$2=$CJ$5,BE24,
IF($D$2=$CJ$6,BF24,
BG24)))</f>
        <v>conventional</v>
      </c>
      <c r="BN24" s="65"/>
      <c r="CO24" s="62" t="s">
        <v>22</v>
      </c>
      <c r="CP24" s="62" t="s">
        <v>62</v>
      </c>
      <c r="CQ24" s="62" t="s">
        <v>61</v>
      </c>
      <c r="CR24" s="62" t="s">
        <v>28</v>
      </c>
    </row>
    <row r="25" spans="1:96" ht="20.399999999999999" customHeight="1" x14ac:dyDescent="0.3">
      <c r="A25" s="29"/>
      <c r="B25" s="105" t="str">
        <f>IF(OR($AQ$8,ISBLANK($D$2),B12&lt;&gt;""),"",
IF($D$2=$CJ$4,CO25,
IF($D$2=$CJ$5,CP25,
IF($D$2=$CJ$6,CQ25,
CR25))))</f>
        <v/>
      </c>
      <c r="C25" s="21" t="str">
        <f>IF(BQ14=FALSE,"",
IF($BJ$14,"",
IF($C$19="","",
IF($C$11=$BV$5,ROUND((((C19-C16)/C17)*C22)+C23,2),
IF($C$11=$BV$6,ROUND((((C19)/C17)*C22),2))))))</f>
        <v/>
      </c>
      <c r="D25" s="18" t="str">
        <f>IF(BQ14=FALSE,"",
IF($BJ$14,"",
D23))</f>
        <v/>
      </c>
      <c r="E25" s="30"/>
      <c r="AO25" s="62" t="str">
        <f>BA17&amp;AZ21</f>
        <v>Françaisbanano Fairtrade convencional</v>
      </c>
      <c r="AP25" s="62" t="str">
        <f t="shared" si="7"/>
        <v>banane conventionnelle du commerce équitable</v>
      </c>
      <c r="AQ25" s="63">
        <v>3</v>
      </c>
      <c r="AR25" s="63" t="str">
        <f t="shared" si="3"/>
        <v>EnglishColombie</v>
      </c>
      <c r="AS25" s="63" t="str">
        <f t="shared" si="4"/>
        <v>Colombia</v>
      </c>
      <c r="AT25" s="63"/>
      <c r="AU25" s="63"/>
      <c r="AV25" s="63"/>
      <c r="AY25" s="63" t="str">
        <f t="shared" si="1"/>
        <v>EnglishColombia</v>
      </c>
      <c r="AZ25" s="63" t="str">
        <f t="shared" si="5"/>
        <v>Colombia</v>
      </c>
      <c r="BA25" s="86" t="str">
        <f>BD4</f>
        <v>English</v>
      </c>
      <c r="BE25" s="62" t="s">
        <v>19</v>
      </c>
      <c r="BN25" s="65"/>
      <c r="CO25" s="62" t="str">
        <f>IF(BQ14=FALSE,"",
IF($BP$14=0,"",
IF($BJ$14,"",
"• Prorated "&amp;$C$11&amp;" Fairtrade Minimum Price "&amp;$BK$4&amp;" per special carton box of "&amp;$C$22&amp;"kg of "&amp;$C$9&amp;" from "&amp;C8&amp;":")))</f>
        <v/>
      </c>
      <c r="CP25" s="62" t="str">
        <f>IF(BQ14=FALSE,"",
IF($BP$14=0,"",
IF($BJ$14,"",
"• Prix minimum Fairtrade "&amp;$C$11&amp;" "&amp;$BK$4&amp;" Répartition pour une boîte en carton spéciale de "&amp;$C$22&amp;"kg de "&amp;$C$9&amp;" de "&amp;C8&amp;":")))</f>
        <v/>
      </c>
      <c r="CQ25" s="62" t="str">
        <f>IF(BQ14=FALSE,"",
IF($BP$14=0,"",
IF($BJ$14,"",
"• Preço Mínimo Fairtrade "&amp;$C$11&amp;" "&amp;$BK$4&amp;" Distribuída por caixa de cartão especial de "&amp;$C$22&amp;"kg de "&amp;$C$9&amp;" de "&amp;C8&amp;":")))</f>
        <v/>
      </c>
      <c r="CR25" s="62" t="str">
        <f>IF(BQ14=FALSE,"",
IF($BP$14=0,"",
IF($BJ$14,"",
"• Precio Mínimo Fairtrade "&amp;$C$11&amp;" "&amp;$BK$4&amp;" Prorrateado para caja de cartón especial de "&amp;$C$22&amp;"kg de "&amp;$C$9&amp;" de "&amp;C8&amp;":")))</f>
        <v/>
      </c>
    </row>
    <row r="26" spans="1:96" ht="20.399999999999999" customHeight="1" x14ac:dyDescent="0.3">
      <c r="A26" s="29"/>
      <c r="B26" s="105"/>
      <c r="C26" s="22" t="str">
        <f>IF(BQ14=FALSE,"",
IF($BJ$14,"",
IF($C$19="","",
IF($C$11=$BV$5," = [("&amp;$C$19&amp;"-"&amp;$C$16&amp;")/"&amp;$C$17&amp;"]*"&amp;$C$22&amp;"+"&amp;ROUND($C$23,2)&amp;" = "&amp;$C$25,
IF($C$11=$BV$6," = ("&amp;$C$19&amp;")/"&amp;$C$17&amp;"*"&amp;$C$22&amp;" = "&amp;$C$25)))))</f>
        <v/>
      </c>
      <c r="D26" s="9"/>
      <c r="E26" s="30"/>
      <c r="AO26" s="62" t="str">
        <f>BA18&amp;AZ22</f>
        <v xml:space="preserve">Françaisbanano Fairtrade orgánico </v>
      </c>
      <c r="AP26" s="62" t="str">
        <f t="shared" si="7"/>
        <v>banane biologique du commerce équitable</v>
      </c>
      <c r="AQ26" s="63">
        <v>4</v>
      </c>
      <c r="AR26" s="63" t="str">
        <f t="shared" si="3"/>
        <v>EnglishÉquateur</v>
      </c>
      <c r="AS26" s="63" t="str">
        <f t="shared" si="4"/>
        <v>Ecuador</v>
      </c>
      <c r="AT26" s="63"/>
      <c r="AU26" s="63"/>
      <c r="AV26" s="63"/>
      <c r="AY26" s="63" t="str">
        <f t="shared" si="1"/>
        <v>EnglishEcuador</v>
      </c>
      <c r="AZ26" s="63" t="str">
        <f t="shared" si="5"/>
        <v>Ecuador</v>
      </c>
      <c r="BA26" s="86" t="str">
        <f>BD4</f>
        <v>English</v>
      </c>
      <c r="BE26" s="62" t="s">
        <v>19</v>
      </c>
      <c r="BN26" s="65"/>
    </row>
    <row r="27" spans="1:96" ht="20.399999999999999" customHeight="1" x14ac:dyDescent="0.3">
      <c r="A27" s="29"/>
      <c r="B27" s="105" t="str">
        <f>IF(OR($AQ$8,ISBLANK($D$2)),"",
IF($D$2=$CJ$4,CO27,
IF($D$2=$CJ$5,CP27,
IF($D$2=$CJ$6,CQ27,
CR27))))</f>
        <v/>
      </c>
      <c r="C27" s="21" t="str">
        <f>IF(BQ14=FALSE,"",
IF($BJ$14,"",
IF(OR($C$11=$BV$6,$C$19=""),"",
ROUND((((BW14)/C17)*C22),2))))</f>
        <v/>
      </c>
      <c r="D27" s="18" t="str">
        <f>IF(BQ14=FALSE,"",
IF(OR($C$11=$BV$6,$C$19=""),"",
D25))</f>
        <v/>
      </c>
      <c r="E27" s="30"/>
      <c r="G27" s="59"/>
      <c r="AO27" s="62" t="str">
        <f>BA19&amp;AZ15</f>
        <v>Portuguêsconventional Fairtrade banana</v>
      </c>
      <c r="AP27" s="62" t="str">
        <f>AZ19</f>
        <v>banana convencional de comércio justo</v>
      </c>
      <c r="AQ27" s="63">
        <v>5</v>
      </c>
      <c r="AR27" s="63" t="str">
        <f t="shared" si="3"/>
        <v>EnglishSainte-Lucie</v>
      </c>
      <c r="AS27" s="63" t="str">
        <f t="shared" si="4"/>
        <v>Saint Lucia</v>
      </c>
      <c r="AT27" s="63"/>
      <c r="AU27" s="63"/>
      <c r="AV27" s="63"/>
      <c r="AY27" s="63" t="str">
        <f t="shared" si="1"/>
        <v>EnglishSaint Lucia</v>
      </c>
      <c r="AZ27" s="63" t="str">
        <f t="shared" si="5"/>
        <v>Saint Lucia</v>
      </c>
      <c r="BA27" s="86" t="str">
        <f>BD4</f>
        <v>English</v>
      </c>
      <c r="BE27" s="62" t="s">
        <v>19</v>
      </c>
      <c r="BN27" s="65"/>
      <c r="CO27" s="62" t="str">
        <f>IF(BQ14=FALSE,"",
IF($BP$14=0,"",
IF($BJ$14,"",
IF(OR($C$11=$BV$6,$C$19=""),"",
"• Prorated Ex Works Fairtrade Minimum Price "&amp;$BK$4&amp;" per special carton box of "&amp;$C$22&amp;"kg of "&amp;$C$9&amp;" from "&amp;C8&amp;":"))))</f>
        <v/>
      </c>
      <c r="CP27" s="62" t="str">
        <f>IF(BQ14=FALSE,"",
IF($BP$14=0,"",
IF($BJ$14,"",
IF(OR($C$11=$BV$6,$C$19=""),"",
"• Prix minimum Fairtrade Ex Works "&amp;$BK$4&amp;" Répartition pour une boîte en carton spéciale de "&amp;$C$22&amp;"kg de "&amp;$C$9&amp;" de "&amp;C8&amp;":"))))</f>
        <v/>
      </c>
      <c r="CQ27" s="62" t="str">
        <f>IF(BQ14=FALSE,"",
IF($BP$14=0,"",
IF($BJ$14,"",
IF(OR($C$11=$BV$6,$C$19=""),"",
"• Preço Mínimo Fairtrade Ex Works "&amp;$BK$4&amp;" Distribuída por caixa de cartão especial de "&amp;$C$22&amp;"kg de "&amp;$C$9&amp;" de "&amp;C8&amp;":"))))</f>
        <v/>
      </c>
      <c r="CR27" s="62" t="str">
        <f>IF(BQ14=FALSE,"",
IF($BP$14=0,"",
IF($BJ$14,"",
IF(OR($C$11=$BV$6,$C$19=""),"",
"• Precio Mínimo Fairtrade Ex Works "&amp;$BK$4&amp;" Prorrateado para caja de cartón especial de "&amp;$C$22&amp;"kg de "&amp;$C$9&amp;" de "&amp;C8&amp;":"))))</f>
        <v/>
      </c>
    </row>
    <row r="28" spans="1:96" ht="20.399999999999999" customHeight="1" x14ac:dyDescent="0.5">
      <c r="A28" s="29"/>
      <c r="B28" s="105"/>
      <c r="C28" s="22" t="str">
        <f>IF(BQ14=FALSE,"",
IF($BJ$14,"",
IF(OR($C$11=$BV$6,$C$19=""),"",
" = ["&amp;$BW$14&amp;"/"&amp;$C$17&amp;"]*"&amp;$C$22&amp;" = "&amp;$C$27)))</f>
        <v/>
      </c>
      <c r="D28" s="9"/>
      <c r="E28" s="30"/>
      <c r="G28" s="60"/>
      <c r="AO28" s="62" t="str">
        <f>BA20&amp;AZ16</f>
        <v>Portuguêsorganic Fairtrade banana</v>
      </c>
      <c r="AP28" s="62" t="str">
        <f>AZ20</f>
        <v>banana biológica de comércio justo</v>
      </c>
      <c r="AQ28" s="63">
        <v>6</v>
      </c>
      <c r="AR28" s="63" t="str">
        <f t="shared" si="3"/>
        <v>EnglishGhana</v>
      </c>
      <c r="AS28" s="63" t="str">
        <f t="shared" si="4"/>
        <v>Ghana</v>
      </c>
      <c r="AT28" s="63"/>
      <c r="AU28" s="63"/>
      <c r="AV28" s="63"/>
      <c r="AY28" s="63" t="str">
        <f t="shared" si="1"/>
        <v>EnglishGhana</v>
      </c>
      <c r="AZ28" s="63" t="str">
        <f t="shared" si="5"/>
        <v>Ghana</v>
      </c>
      <c r="BA28" s="86" t="str">
        <f>BD4</f>
        <v>English</v>
      </c>
      <c r="BE28" s="62" t="s">
        <v>19</v>
      </c>
      <c r="BH28" s="92"/>
      <c r="BN28" s="65"/>
    </row>
    <row r="29" spans="1:96" ht="20.399999999999999" customHeight="1" x14ac:dyDescent="0.5">
      <c r="A29" s="29"/>
      <c r="B29" s="105" t="str">
        <f>IF(OR($AQ$8,ISBLANK($D$2)),"",
IF($D$2=$CJ$4,CO29,
IF($D$2=$CJ$5,CP29,
IF($D$2=$CJ$6,CQ29,
CR29))))</f>
        <v/>
      </c>
      <c r="C29" s="21" t="str">
        <f>IF(BQ14=FALSE,"",
IF($BJ$14,"",
IF(D16="","",
IF(C25="","",
ROUND(C22/C17,2)))))</f>
        <v/>
      </c>
      <c r="D29" s="18" t="str">
        <f>IF(OR(BQ14=FALSE,D27=""),"",
IF($BJ$14,"",
"USD/box"&amp;$C$22&amp;"kg"))</f>
        <v/>
      </c>
      <c r="E29" s="30"/>
      <c r="AO29" s="62" t="str">
        <f>BA19&amp;AZ17</f>
        <v>Portuguêsbanane conventionnelle du commerce équitable</v>
      </c>
      <c r="AP29" s="62" t="str">
        <f>AP27</f>
        <v>banana convencional de comércio justo</v>
      </c>
      <c r="AQ29" s="63">
        <v>7</v>
      </c>
      <c r="AR29" s="63" t="str">
        <f t="shared" si="3"/>
        <v>EnglishRépublique dominicaine</v>
      </c>
      <c r="AS29" s="63" t="str">
        <f t="shared" si="4"/>
        <v>Dominican Republic</v>
      </c>
      <c r="AT29" s="63"/>
      <c r="AU29" s="63"/>
      <c r="AV29" s="63"/>
      <c r="AY29" s="63" t="str">
        <f t="shared" si="1"/>
        <v>EnglishDominican Republic</v>
      </c>
      <c r="AZ29" s="63" t="str">
        <f t="shared" si="5"/>
        <v>Dominican Republic</v>
      </c>
      <c r="BA29" s="86" t="str">
        <f>BD4</f>
        <v>English</v>
      </c>
      <c r="BH29" s="92"/>
      <c r="BN29" s="65"/>
      <c r="CO29" s="62" t="str">
        <f>IF(BQ14=FALSE,"",
IF($BP$14=0,"",
IF($BJ$14,"",
IF(OR($C$11=$BV$6,$C$19=""),"",
"• Prorated Fairtrade Premium "&amp;$BK$4&amp;" per special carton box of "&amp;$C$22&amp;"kg of "&amp;$C$9&amp;" from "&amp;C8&amp;":"))))</f>
        <v/>
      </c>
      <c r="CP29" s="62" t="str">
        <f>IF(BQ14=FALSE,"",
IF($BP$14=0,"",
IF($BJ$14,"",
IF(OR($C$11=$BV$6,$C$19=""),"",
"• Prime Fairtrade "&amp;$BK$4&amp;" u prorata par boîte en carton spéciale de "&amp;$C$22&amp;"kg de "&amp;$C$9&amp;" de "&amp;C8&amp;":"))))</f>
        <v/>
      </c>
      <c r="CQ29" s="62" t="str">
        <f>IF(BQ14=FALSE,"",
IF($BP$14=0,"",
IF($BJ$14,"",
IF(OR($C$11=$BV$6,$C$19=""),"",
"• Prémio Fairtrade "&amp;$BK$4&amp;" Prorated por caixa de cartão especial de "&amp;$C$22&amp;"kg de "&amp;$C$9&amp;" de "&amp;C8&amp;":"))))</f>
        <v/>
      </c>
      <c r="CR29" s="62" t="str">
        <f>IF(BQ14=FALSE,"",
IF($BP$14=0,"",
IF($BJ$14,"",
IF(OR($C$11=$BV$6,$C$19=""),"",
"• Prima Fairtrade "&amp;$BK$4&amp;" Prorrateada por caja especial de cartón de "&amp;$C$22&amp;"kg de "&amp;$C$9&amp;" de "&amp;C8&amp;":"))))</f>
        <v/>
      </c>
    </row>
    <row r="30" spans="1:96" ht="20.399999999999999" customHeight="1" thickBot="1" x14ac:dyDescent="0.55000000000000004">
      <c r="A30" s="29"/>
      <c r="B30" s="106"/>
      <c r="C30" s="23" t="str">
        <f>IF(C29="","","= "&amp;C22&amp;"/"&amp;C17&amp;" = "&amp;C29)</f>
        <v/>
      </c>
      <c r="D30" s="19"/>
      <c r="E30" s="30"/>
      <c r="AO30" s="62" t="str">
        <f>BA20&amp;AZ18</f>
        <v>Portuguêsbanane biologique du commerce équitable</v>
      </c>
      <c r="AP30" s="62" t="str">
        <f t="shared" ref="AP30:AP32" si="8">AP28</f>
        <v>banana biológica de comércio justo</v>
      </c>
      <c r="AQ30" s="63">
        <v>8</v>
      </c>
      <c r="AR30" s="63" t="str">
        <f t="shared" si="3"/>
        <v>EnglishNicaragua</v>
      </c>
      <c r="AS30" s="63" t="str">
        <f t="shared" si="4"/>
        <v>Nicaragua</v>
      </c>
      <c r="AT30" s="63"/>
      <c r="AU30" s="63"/>
      <c r="AV30" s="63"/>
      <c r="AY30" s="63" t="str">
        <f t="shared" si="1"/>
        <v>EnglishNicaragua</v>
      </c>
      <c r="AZ30" s="63" t="str">
        <f t="shared" si="5"/>
        <v>Nicaragua</v>
      </c>
      <c r="BA30" s="86" t="str">
        <f>BD4</f>
        <v>English</v>
      </c>
      <c r="BH30" s="92"/>
      <c r="BN30" s="65"/>
    </row>
    <row r="31" spans="1:96" ht="15" thickBot="1" x14ac:dyDescent="0.35">
      <c r="A31" s="31"/>
      <c r="B31" s="32"/>
      <c r="C31" s="33"/>
      <c r="D31" s="33"/>
      <c r="E31" s="34"/>
      <c r="AO31" s="62" t="str">
        <f>BA19&amp;AZ21</f>
        <v>Portuguêsbanano Fairtrade convencional</v>
      </c>
      <c r="AP31" s="62" t="str">
        <f t="shared" si="8"/>
        <v>banana convencional de comércio justo</v>
      </c>
      <c r="AQ31" s="63">
        <v>9</v>
      </c>
      <c r="AR31" s="63" t="str">
        <f t="shared" si="3"/>
        <v>EnglishCameroun</v>
      </c>
      <c r="AS31" s="63" t="str">
        <f t="shared" si="4"/>
        <v>Cameroon</v>
      </c>
      <c r="AT31" s="63"/>
      <c r="AU31" s="63"/>
      <c r="AV31" s="63"/>
      <c r="AY31" s="63" t="str">
        <f t="shared" ref="AY31:AY58" si="9">BA31&amp;AZ31</f>
        <v>EnglishCameroon</v>
      </c>
      <c r="AZ31" s="63" t="str">
        <f t="shared" ref="AZ31" si="10">BD19</f>
        <v>Cameroon</v>
      </c>
      <c r="BA31" s="86" t="str">
        <f>BA30</f>
        <v>English</v>
      </c>
      <c r="BH31" s="93"/>
      <c r="BN31" s="65"/>
    </row>
    <row r="32" spans="1:96" ht="32.25" customHeight="1" x14ac:dyDescent="0.3">
      <c r="AO32" s="62" t="str">
        <f>BA20&amp;AZ22</f>
        <v xml:space="preserve">Portuguêsbanano Fairtrade orgánico </v>
      </c>
      <c r="AP32" s="62" t="str">
        <f t="shared" si="8"/>
        <v>banana biológica de comércio justo</v>
      </c>
      <c r="AQ32" s="63">
        <v>1</v>
      </c>
      <c r="AR32" s="65" t="str">
        <f t="shared" ref="AR32:AR35" si="11">BA23&amp;AZ41</f>
        <v>EnglishPanamá</v>
      </c>
      <c r="AS32" s="63" t="str">
        <f t="shared" ref="AS32:AS44" si="12">AS23</f>
        <v>Panama</v>
      </c>
      <c r="AT32" s="65" t="s">
        <v>95</v>
      </c>
      <c r="AU32" s="63" t="s">
        <v>96</v>
      </c>
      <c r="AY32" s="63" t="str">
        <f t="shared" si="9"/>
        <v>FrançaisPanama</v>
      </c>
      <c r="AZ32" s="63" t="str">
        <f t="shared" ref="AZ32:AZ40" si="13">BE11</f>
        <v>Panama</v>
      </c>
      <c r="BA32" s="86" t="str">
        <f>BE4</f>
        <v>Français</v>
      </c>
      <c r="CO32" s="62" t="e">
        <f>"EXAMPLE FOR:
  PRORATE TO IFCO CRATE "&amp;IF(ISBLANK(#REF!),"OF __ KG (PLEASE ENTER THE WEIGHT IN KILOGRAMS IN CELL C39)","OF "&amp;#REF!&amp;"kg FOR BANANA")</f>
        <v>#REF!</v>
      </c>
      <c r="CP32" s="62" t="e">
        <f>"EXEMPLE POUR :
RÉPARTITION POUR LA CAISSE DE L'IFCO "&amp;IF(ISBLANK(#REF!),"DE __ KG (ENTREZ LE POIDS EN KILOGRAMMES DANS LA CELLULE C39)","DE "&amp;#REF!&amp;"kg DE BANANE FRAÎCHE")</f>
        <v>#REF!</v>
      </c>
      <c r="CQ32" s="62" t="e">
        <f>"EXEMPLO PARA:
REPARTIÇÃO PARA A CAIXA DA IFCO "&amp;IF(ISBLANK(#REF!),"DE __ KG (ENTREZ LE POIDS EN KILOGRAMMES DANS LA CELLULE C39)","DE "&amp;#REF!&amp;"kg DE BANANA FRESCA")</f>
        <v>#REF!</v>
      </c>
      <c r="CR32" s="62" t="e">
        <f>"EJEMPLO PARA:
  PRORRATEO PARA LA CAJA IFCO "&amp;IF(ISBLANK(#REF!),"DE __ KG (INGRESE EL PESO EN KILOGRAMOS EN LA CELDA C39)","DE "&amp;#REF!&amp;"kg DE BANANO FRESCO")</f>
        <v>#REF!</v>
      </c>
    </row>
    <row r="33" spans="1:96" ht="16.8" customHeight="1" x14ac:dyDescent="0.3">
      <c r="A33" s="4"/>
      <c r="C33" s="4"/>
      <c r="D33" s="4"/>
      <c r="E33" s="4"/>
      <c r="AO33" s="62" t="str">
        <f>BA21&amp;AZ15</f>
        <v>Españolconventional Fairtrade banana</v>
      </c>
      <c r="AP33" s="62" t="str">
        <f>AZ21</f>
        <v>banano Fairtrade convencional</v>
      </c>
      <c r="AQ33" s="63">
        <v>2</v>
      </c>
      <c r="AR33" s="63" t="str">
        <f t="shared" si="11"/>
        <v>EnglishPeru</v>
      </c>
      <c r="AS33" s="63" t="str">
        <f t="shared" si="12"/>
        <v>Peru</v>
      </c>
      <c r="AT33" s="63"/>
      <c r="AU33" s="63"/>
      <c r="AY33" s="63" t="str">
        <f t="shared" si="9"/>
        <v>FrançaisPérou</v>
      </c>
      <c r="AZ33" s="63" t="str">
        <f t="shared" si="13"/>
        <v>Pérou</v>
      </c>
      <c r="BA33" s="86" t="str">
        <f>BE4</f>
        <v>Français</v>
      </c>
      <c r="CO33" s="62" t="s">
        <v>21</v>
      </c>
      <c r="CP33" s="62" t="s">
        <v>55</v>
      </c>
      <c r="CQ33" s="62" t="s">
        <v>56</v>
      </c>
      <c r="CR33" s="62" t="s">
        <v>29</v>
      </c>
    </row>
    <row r="34" spans="1:96" ht="45" customHeight="1" x14ac:dyDescent="0.3">
      <c r="AO34" s="62" t="str">
        <f>BA22&amp;AZ16</f>
        <v>Españolorganic Fairtrade banana</v>
      </c>
      <c r="AP34" s="62" t="str">
        <f>AZ22</f>
        <v xml:space="preserve">banano Fairtrade orgánico </v>
      </c>
      <c r="AQ34" s="63">
        <v>3</v>
      </c>
      <c r="AR34" s="63" t="str">
        <f t="shared" si="11"/>
        <v>EnglishColômbia</v>
      </c>
      <c r="AS34" s="63" t="str">
        <f t="shared" si="12"/>
        <v>Colombia</v>
      </c>
      <c r="AT34" s="63"/>
      <c r="AU34" s="63"/>
      <c r="AY34" s="63" t="str">
        <f t="shared" si="9"/>
        <v>FrançaisColombie</v>
      </c>
      <c r="AZ34" s="63" t="str">
        <f t="shared" si="13"/>
        <v>Colombie</v>
      </c>
      <c r="BA34" s="86" t="str">
        <f>BE4</f>
        <v>Français</v>
      </c>
      <c r="CO34" s="62" t="str">
        <f t="shared" ref="CO34:CO38" si="14">CO16</f>
        <v/>
      </c>
      <c r="CP34" s="62" t="str">
        <f t="shared" ref="CP34:CQ34" si="15">CP16</f>
        <v/>
      </c>
      <c r="CQ34" s="62" t="str">
        <f t="shared" si="15"/>
        <v/>
      </c>
      <c r="CR34" s="62" t="str">
        <f>CR16</f>
        <v/>
      </c>
    </row>
    <row r="35" spans="1:96" ht="36.6" customHeight="1" x14ac:dyDescent="0.3">
      <c r="AO35" s="62" t="str">
        <f>BA21&amp;AZ17</f>
        <v>Españolbanane conventionnelle du commerce équitable</v>
      </c>
      <c r="AP35" s="62" t="str">
        <f>AP33</f>
        <v>banano Fairtrade convencional</v>
      </c>
      <c r="AQ35" s="63">
        <v>4</v>
      </c>
      <c r="AR35" s="63" t="str">
        <f t="shared" si="11"/>
        <v>EnglishEquador</v>
      </c>
      <c r="AS35" s="63" t="str">
        <f t="shared" si="12"/>
        <v>Ecuador</v>
      </c>
      <c r="AT35" s="63"/>
      <c r="AU35" s="63"/>
      <c r="AY35" s="63" t="str">
        <f t="shared" si="9"/>
        <v>FrançaisÉquateur</v>
      </c>
      <c r="AZ35" s="63" t="str">
        <f t="shared" si="13"/>
        <v>Équateur</v>
      </c>
      <c r="BA35" s="86" t="str">
        <f>BE4</f>
        <v>Français</v>
      </c>
      <c r="BD35" s="80" t="s">
        <v>84</v>
      </c>
      <c r="BE35" s="81" t="s">
        <v>85</v>
      </c>
      <c r="BF35" s="81" t="s">
        <v>86</v>
      </c>
      <c r="BG35" s="81" t="s">
        <v>87</v>
      </c>
      <c r="CO35" s="62" t="str">
        <f t="shared" si="14"/>
        <v/>
      </c>
      <c r="CP35" s="62" t="str">
        <f t="shared" ref="CP35:CQ35" si="16">CP17</f>
        <v/>
      </c>
      <c r="CQ35" s="62" t="str">
        <f t="shared" si="16"/>
        <v/>
      </c>
      <c r="CR35" s="62" t="str">
        <f>CR17</f>
        <v/>
      </c>
    </row>
    <row r="36" spans="1:96" ht="36.6" customHeight="1" x14ac:dyDescent="0.3">
      <c r="AO36" s="62" t="str">
        <f>BA22&amp;AZ18</f>
        <v>Españolbanane biologique du commerce équitable</v>
      </c>
      <c r="AP36" s="62" t="str">
        <f t="shared" ref="AP36:AP38" si="17">AP34</f>
        <v xml:space="preserve">banano Fairtrade orgánico </v>
      </c>
      <c r="AQ36" s="63">
        <v>5</v>
      </c>
      <c r="AR36" s="63" t="str">
        <f>BA27&amp;AZ45</f>
        <v>EnglishSanta Lúcia</v>
      </c>
      <c r="AS36" s="63" t="str">
        <f t="shared" si="12"/>
        <v>Saint Lucia</v>
      </c>
      <c r="AT36" s="63"/>
      <c r="AU36" s="63"/>
      <c r="AY36" s="63" t="str">
        <f t="shared" si="9"/>
        <v>FrançaisSainte-Lucie</v>
      </c>
      <c r="AZ36" s="63" t="str">
        <f t="shared" si="13"/>
        <v>Sainte-Lucie</v>
      </c>
      <c r="BA36" s="86" t="str">
        <f>BE4</f>
        <v>Français</v>
      </c>
      <c r="CO36" s="62" t="str">
        <f t="shared" si="14"/>
        <v>Fairtrade Minimum Price</v>
      </c>
      <c r="CP36" s="62" t="s">
        <v>58</v>
      </c>
      <c r="CQ36" s="62" t="s">
        <v>57</v>
      </c>
      <c r="CR36" s="62" t="str">
        <f>CR18</f>
        <v>Precio Mínimo Fairtrade</v>
      </c>
    </row>
    <row r="37" spans="1:96" ht="17.399999999999999" customHeight="1" x14ac:dyDescent="0.3">
      <c r="G37" s="59"/>
      <c r="AO37" s="62" t="str">
        <f>BA21&amp;AZ19</f>
        <v>Españolbanana convencional de comércio justo</v>
      </c>
      <c r="AP37" s="62" t="str">
        <f t="shared" si="17"/>
        <v>banano Fairtrade convencional</v>
      </c>
      <c r="AQ37" s="63">
        <v>6</v>
      </c>
      <c r="AR37" s="63" t="str">
        <f>BA28&amp;AZ46</f>
        <v>EnglishGana</v>
      </c>
      <c r="AS37" s="63" t="str">
        <f t="shared" si="12"/>
        <v>Ghana</v>
      </c>
      <c r="AT37" s="63"/>
      <c r="AU37" s="63"/>
      <c r="AY37" s="63" t="str">
        <f t="shared" si="9"/>
        <v>FrançaisGhana</v>
      </c>
      <c r="AZ37" s="63" t="str">
        <f t="shared" si="13"/>
        <v>Ghana</v>
      </c>
      <c r="BA37" s="86" t="str">
        <f>BE4</f>
        <v>Français</v>
      </c>
      <c r="CO37" s="62" t="str">
        <f t="shared" si="14"/>
        <v/>
      </c>
      <c r="CP37" s="62" t="str">
        <f t="shared" ref="CP37:CQ37" si="18">CP19</f>
        <v/>
      </c>
      <c r="CQ37" s="62" t="str">
        <f t="shared" si="18"/>
        <v/>
      </c>
      <c r="CR37" s="62" t="str">
        <f>CR19</f>
        <v/>
      </c>
    </row>
    <row r="38" spans="1:96" ht="29.4" customHeight="1" x14ac:dyDescent="0.3">
      <c r="G38" s="59"/>
      <c r="AO38" s="62" t="str">
        <f>BA22&amp;AZ20</f>
        <v>Españolbanana biológica de comércio justo</v>
      </c>
      <c r="AP38" s="62" t="str">
        <f t="shared" si="17"/>
        <v xml:space="preserve">banano Fairtrade orgánico </v>
      </c>
      <c r="AQ38" s="63">
        <v>7</v>
      </c>
      <c r="AR38" s="63" t="str">
        <f>BA29&amp;AZ47</f>
        <v>EnglishRepública Dominicana</v>
      </c>
      <c r="AS38" s="63" t="str">
        <f t="shared" si="12"/>
        <v>Dominican Republic</v>
      </c>
      <c r="AT38" s="63"/>
      <c r="AU38" s="63"/>
      <c r="AY38" s="63" t="str">
        <f t="shared" si="9"/>
        <v>FrançaisRépublique dominicaine</v>
      </c>
      <c r="AZ38" s="63" t="str">
        <f t="shared" si="13"/>
        <v>République dominicaine</v>
      </c>
      <c r="BA38" s="86" t="str">
        <f>BE4</f>
        <v>Français</v>
      </c>
      <c r="BL38" s="94"/>
      <c r="CO38" s="62" t="str">
        <f t="shared" si="14"/>
        <v/>
      </c>
      <c r="CP38" s="62" t="str">
        <f t="shared" ref="CP38:CQ38" si="19">CP20</f>
        <v/>
      </c>
      <c r="CQ38" s="62" t="str">
        <f t="shared" si="19"/>
        <v/>
      </c>
      <c r="CR38" s="62" t="str">
        <f>CR20</f>
        <v/>
      </c>
    </row>
    <row r="39" spans="1:96" ht="29.4" customHeight="1" x14ac:dyDescent="0.3">
      <c r="AO39" s="62" t="str">
        <f>AY15</f>
        <v>Englishconventional Fairtrade banana</v>
      </c>
      <c r="AP39" s="62" t="str">
        <f>AZ15</f>
        <v>conventional Fairtrade banana</v>
      </c>
      <c r="AQ39" s="63">
        <v>8</v>
      </c>
      <c r="AR39" s="63" t="str">
        <f>BA30&amp;AZ48</f>
        <v>EnglishNicarágua</v>
      </c>
      <c r="AS39" s="63" t="str">
        <f t="shared" si="12"/>
        <v>Nicaragua</v>
      </c>
      <c r="AT39" s="63"/>
      <c r="AU39" s="63"/>
      <c r="AY39" s="63" t="str">
        <f t="shared" si="9"/>
        <v>FrançaisNicaragua</v>
      </c>
      <c r="AZ39" s="63" t="str">
        <f t="shared" si="13"/>
        <v>Nicaragua</v>
      </c>
      <c r="BA39" s="86" t="str">
        <f>BE4</f>
        <v>Français</v>
      </c>
      <c r="CO39" s="62" t="s">
        <v>146</v>
      </c>
      <c r="CP39" s="62" t="s">
        <v>63</v>
      </c>
      <c r="CQ39" s="62" t="s">
        <v>64</v>
      </c>
      <c r="CR39" s="62" t="s">
        <v>30</v>
      </c>
    </row>
    <row r="40" spans="1:96" ht="29.4" customHeight="1" x14ac:dyDescent="0.3">
      <c r="AO40" s="62" t="str">
        <f t="shared" ref="AO40:AP40" si="20">AY16</f>
        <v>Englishorganic Fairtrade banana</v>
      </c>
      <c r="AP40" s="62" t="str">
        <f t="shared" si="20"/>
        <v>organic Fairtrade banana</v>
      </c>
      <c r="AQ40" s="63">
        <v>9</v>
      </c>
      <c r="AR40" s="63" t="str">
        <f>BA31&amp;AZ49</f>
        <v>EnglishCamarões</v>
      </c>
      <c r="AS40" s="63" t="str">
        <f t="shared" si="12"/>
        <v>Cameroon</v>
      </c>
      <c r="AY40" s="63" t="str">
        <f t="shared" si="9"/>
        <v>FrançaisCameroun</v>
      </c>
      <c r="AZ40" s="63" t="str">
        <f t="shared" si="13"/>
        <v>Cameroun</v>
      </c>
      <c r="BA40" s="86" t="str">
        <f>BA39</f>
        <v>Français</v>
      </c>
      <c r="CO40" s="62" t="str">
        <f>IF(BQ14=FALSE,"",
IF($BP$14=0,"",
"• Banana volume per IFCO box (for which the Fairtrade Minimum Price will be prorated):"))</f>
        <v/>
      </c>
      <c r="CP40" s="62" t="str">
        <f>IF(BQ14=FALSE,"",
IF($BP$14=0,"",
"• Volume de bananes par boîte IFCO (pour lequel le prix minimum du commerce équitable sera calculé au prorata):"))</f>
        <v/>
      </c>
      <c r="CQ40" s="62" t="str">
        <f>IF(BQ14=FALSE,"",
IF($BP$14=0,"",
"• Volume de bananas por caixa IFCO (para o qual o Preço Mínimo de Comércio Justo será pro-rated):"))</f>
        <v/>
      </c>
      <c r="CR40" s="62" t="str">
        <f>IF(BQ14=FALSE,"",
IF($BP$14=0,"",
"• Volumen de banano por caja IFCO (para el que se prorrateará el Precio Mínimo Fairtrade):"))</f>
        <v/>
      </c>
    </row>
    <row r="41" spans="1:96" ht="29.4" customHeight="1" x14ac:dyDescent="0.3">
      <c r="AO41" s="62" t="str">
        <f t="shared" ref="AO41:AP41" si="21">AY17</f>
        <v>Françaisbanane conventionnelle du commerce équitable</v>
      </c>
      <c r="AP41" s="62" t="str">
        <f t="shared" si="21"/>
        <v>banane conventionnelle du commerce équitable</v>
      </c>
      <c r="AQ41" s="63">
        <v>1</v>
      </c>
      <c r="AR41" s="65" t="str">
        <f t="shared" ref="AR41:AR49" si="22">BA23&amp;AZ50</f>
        <v>EnglishPanamá</v>
      </c>
      <c r="AS41" s="63" t="str">
        <f t="shared" si="12"/>
        <v>Panama</v>
      </c>
      <c r="AT41" s="65" t="s">
        <v>97</v>
      </c>
      <c r="AU41" s="63" t="s">
        <v>96</v>
      </c>
      <c r="AY41" s="63" t="str">
        <f t="shared" si="9"/>
        <v>PortuguêsPanamá</v>
      </c>
      <c r="AZ41" s="95" t="str">
        <f t="shared" ref="AZ41:AZ44" si="23">BF11</f>
        <v>Panamá</v>
      </c>
      <c r="BA41" s="86" t="str">
        <f>BF4</f>
        <v>Português</v>
      </c>
      <c r="CO41" s="62" t="str">
        <f>IF($BQ$14=FALSE,"",
IF($BP$14=0,"",
IF(ISBLANK(#REF!),"",
"• "&amp;CO81)))</f>
        <v/>
      </c>
      <c r="CP41" s="62" t="str">
        <f>IF($BQ$14=FALSE,"",
IF($BP$14=0,"",
IF(ISBLANK(#REF!),"",
"• "&amp;CP81)))</f>
        <v/>
      </c>
      <c r="CQ41" s="62" t="str">
        <f>IF($BQ$14=FALSE,"",
IF($BP$14=0,"",
IF(ISBLANK(#REF!),"",
"• "&amp;CQ81)))</f>
        <v/>
      </c>
      <c r="CR41" s="62" t="str">
        <f>IF($BQ$14=FALSE,"",
IF($BP$14=0,"",
IF(ISBLANK(#REF!),"",
"• "&amp;CR81)))</f>
        <v/>
      </c>
    </row>
    <row r="42" spans="1:96" x14ac:dyDescent="0.3">
      <c r="F42" s="61"/>
      <c r="AO42" s="62" t="str">
        <f t="shared" ref="AO42:AP42" si="24">AY18</f>
        <v>Françaisbanane biologique du commerce équitable</v>
      </c>
      <c r="AP42" s="62" t="str">
        <f t="shared" si="24"/>
        <v>banane biologique du commerce équitable</v>
      </c>
      <c r="AQ42" s="63">
        <v>2</v>
      </c>
      <c r="AR42" s="63" t="str">
        <f t="shared" si="22"/>
        <v>EnglishPerú</v>
      </c>
      <c r="AS42" s="63" t="str">
        <f t="shared" si="12"/>
        <v>Peru</v>
      </c>
      <c r="AT42" s="63"/>
      <c r="AU42" s="63"/>
      <c r="AY42" s="63" t="str">
        <f t="shared" si="9"/>
        <v>PortuguêsPeru</v>
      </c>
      <c r="AZ42" s="95" t="str">
        <f t="shared" si="23"/>
        <v>Peru</v>
      </c>
      <c r="BA42" s="86" t="str">
        <f>BF4</f>
        <v>Português</v>
      </c>
      <c r="CO42" s="62" t="str">
        <f t="shared" ref="CO42:CQ42" si="25">CO24</f>
        <v>Prorate</v>
      </c>
      <c r="CP42" s="62" t="str">
        <f t="shared" si="25"/>
        <v>Répartition</v>
      </c>
      <c r="CQ42" s="62" t="str">
        <f t="shared" si="25"/>
        <v>Rateio</v>
      </c>
      <c r="CR42" s="62" t="str">
        <f>CR24</f>
        <v>Prorrateo</v>
      </c>
    </row>
    <row r="43" spans="1:96" ht="24" customHeight="1" x14ac:dyDescent="0.3">
      <c r="AO43" s="62" t="str">
        <f t="shared" ref="AO43:AP43" si="26">AY19</f>
        <v>Portuguêsbanana convencional de comércio justo</v>
      </c>
      <c r="AP43" s="62" t="str">
        <f t="shared" si="26"/>
        <v>banana convencional de comércio justo</v>
      </c>
      <c r="AQ43" s="63">
        <v>3</v>
      </c>
      <c r="AR43" s="63" t="str">
        <f t="shared" si="22"/>
        <v>EnglishColombia</v>
      </c>
      <c r="AS43" s="63" t="str">
        <f t="shared" si="12"/>
        <v>Colombia</v>
      </c>
      <c r="AT43" s="63"/>
      <c r="AU43" s="63"/>
      <c r="AY43" s="63" t="str">
        <f t="shared" si="9"/>
        <v>PortuguêsColômbia</v>
      </c>
      <c r="AZ43" s="95" t="str">
        <f t="shared" si="23"/>
        <v>Colômbia</v>
      </c>
      <c r="BA43" s="86" t="str">
        <f>BF4</f>
        <v>Português</v>
      </c>
      <c r="BU43" s="82"/>
      <c r="CO43" s="62" t="str">
        <f>IF(BQ14=FALSE,"",
IF($BP$14=0,"",
IF(OR(ISBLANK(#REF!),ISBLANK(#REF!)),"",
"• Prorated "&amp;$C$11&amp;" Fairtrade Minimum Price "&amp;$BK$4&amp;" per IFCO crate of "&amp;#REF!&amp;"kg of "&amp;$C$9&amp;" from "&amp;$C$8&amp;":")))</f>
        <v/>
      </c>
      <c r="CP43" s="62" t="str">
        <f>IF(BQ14=FALSE,"",
IF($BP$14=0,"",
IF(OR(ISBLANK(#REF!),ISBLANK(#REF!)),"",
"• Prix minimum Fairtrade "&amp;$C$11&amp;" "&amp;$BK$4&amp;" Répartition pour la boîte IFCO de "&amp;#REF!&amp;"kg de "&amp;$C$9&amp;" de "&amp;$C$8&amp;":")))</f>
        <v/>
      </c>
      <c r="CQ43" s="62" t="str">
        <f>IF(BQ14=FALSE,"",
IF($BP$14=0,"",
IF(OR(ISBLANK(#REF!),ISBLANK(#REF!)),"",
"• Preço mínimo Fairtrade "&amp;$C$11&amp;" "&amp;$BK$4&amp;" Repartido para a caixa IFCO de "&amp;#REF!&amp;"kg de "&amp;$C$9&amp;" de "&amp;$C$8&amp;":")))</f>
        <v/>
      </c>
      <c r="CR43" s="62" t="str">
        <f>IF(BQ14=FALSE,"",
IF($BP$14=0,"",
IF(OR(ISBLANK(#REF!),ISBLANK(#REF!)),"",
"• Precio Mínimo Fairtrade "&amp;$C$11&amp;" "&amp;$BK$4&amp;" Prorrateado para caja IFCO de "&amp;#REF!&amp;"kg de "&amp;$C$9&amp;" de "&amp;$C$8&amp;":")))</f>
        <v/>
      </c>
    </row>
    <row r="44" spans="1:96" ht="60.6" customHeight="1" x14ac:dyDescent="0.3">
      <c r="AO44" s="62" t="str">
        <f t="shared" ref="AO44:AP44" si="27">AY20</f>
        <v>Portuguêsbanana biológica de comércio justo</v>
      </c>
      <c r="AP44" s="62" t="str">
        <f t="shared" si="27"/>
        <v>banana biológica de comércio justo</v>
      </c>
      <c r="AQ44" s="63">
        <v>4</v>
      </c>
      <c r="AR44" s="63" t="str">
        <f t="shared" si="22"/>
        <v>EnglishEcuador</v>
      </c>
      <c r="AS44" s="63" t="str">
        <f t="shared" si="12"/>
        <v>Ecuador</v>
      </c>
      <c r="AT44" s="63"/>
      <c r="AU44" s="63"/>
      <c r="AY44" s="63" t="str">
        <f t="shared" si="9"/>
        <v>PortuguêsEquador</v>
      </c>
      <c r="AZ44" s="95" t="str">
        <f t="shared" si="23"/>
        <v>Equador</v>
      </c>
      <c r="BA44" s="86" t="str">
        <f>BF4</f>
        <v>Português</v>
      </c>
      <c r="CP44" s="62" t="s">
        <v>19</v>
      </c>
    </row>
    <row r="45" spans="1:96" ht="20.399999999999999" customHeight="1" x14ac:dyDescent="0.3">
      <c r="AO45" s="62" t="str">
        <f>AY21</f>
        <v>Españolbanano Fairtrade convencional</v>
      </c>
      <c r="AP45" s="62" t="str">
        <f>AZ21</f>
        <v>banano Fairtrade convencional</v>
      </c>
      <c r="AQ45" s="63">
        <v>5</v>
      </c>
      <c r="AR45" s="63" t="str">
        <f t="shared" si="22"/>
        <v>EnglishSanta Lucía</v>
      </c>
      <c r="AS45" s="63" t="str">
        <f>AS36</f>
        <v>Saint Lucia</v>
      </c>
      <c r="AT45" s="63"/>
      <c r="AU45" s="63"/>
      <c r="AY45" s="63" t="str">
        <f t="shared" si="9"/>
        <v>PortuguêsSanta Lúcia</v>
      </c>
      <c r="AZ45" s="95" t="str">
        <f>BF15</f>
        <v>Santa Lúcia</v>
      </c>
      <c r="BA45" s="86" t="str">
        <f>BF4</f>
        <v>Português</v>
      </c>
      <c r="CO45" s="62" t="str">
        <f>IF(BQ14=FALSE,"",
IF($BP$14=0,"",
IF(OR(ISBLANK(#REF!),ISBLANK(#REF!)),"",
IF(OR($C$11=$BV$6,#REF!=""),"","• Prorated Ex Works Fairtrade Minimum Price "&amp;$BK$4&amp;" per IFCO crate of "&amp;#REF!&amp;"kg of "&amp;$C$9&amp;" from "&amp;$C$8&amp;":"))))</f>
        <v/>
      </c>
      <c r="CP45" s="62" t="str">
        <f>IF(BQ14=FALSE,"",
IF($BP$14=0,"",
IF(OR(ISBLANK(#REF!),ISBLANK(#REF!)),"",
IF(OR($C$11=$BV$6,#REF!=""),"","• Prix minimum Fairtrade Ex Works "&amp;$BK$4&amp;" Répartition pour la boîte IFCO de "&amp;#REF!&amp;"kg de "&amp;$C$9&amp;" de "&amp;$C$8&amp;":"))))</f>
        <v/>
      </c>
      <c r="CQ45" s="62" t="str">
        <f>IF(BQ14=FALSE,"",
IF($BP$14=0,"",
IF(OR(ISBLANK(#REF!),ISBLANK(#REF!)),"",
IF(OR($C$11=$BV$6,#REF!=""),"","• Precio Mínimo Fairtrade Ex Works "&amp;$BK$4&amp;" Repartido para a caixa IFCO de "&amp;#REF!&amp;"kg de "&amp;$C$9&amp;" de "&amp;$C$8&amp;":"))))</f>
        <v/>
      </c>
      <c r="CR45" s="62" t="str">
        <f>IF(BQ14=FALSE,"",
IF($BP$14=0,"",
IF(OR(ISBLANK(#REF!),ISBLANK(#REF!)),"",
IF(OR($C$11=$BV$6,#REF!=""),"","• Precio Mínimo Fairtrade Ex Works "&amp;$BK$4&amp;" Prorrateado para caja IFCO de "&amp;#REF!&amp;"kg de "&amp;$C$9&amp;" de "&amp;$C$8&amp;":"))))</f>
        <v/>
      </c>
    </row>
    <row r="46" spans="1:96" ht="19.2" customHeight="1" x14ac:dyDescent="0.3">
      <c r="AO46" s="62" t="str">
        <f>AY22</f>
        <v xml:space="preserve">Españolbanano Fairtrade orgánico </v>
      </c>
      <c r="AP46" s="62" t="str">
        <f>AZ22</f>
        <v xml:space="preserve">banano Fairtrade orgánico </v>
      </c>
      <c r="AQ46" s="63">
        <v>6</v>
      </c>
      <c r="AR46" s="63" t="str">
        <f t="shared" si="22"/>
        <v>EnglishGana</v>
      </c>
      <c r="AS46" s="63" t="str">
        <f>AS37</f>
        <v>Ghana</v>
      </c>
      <c r="AT46" s="63"/>
      <c r="AU46" s="63"/>
      <c r="AY46" s="63" t="str">
        <f t="shared" si="9"/>
        <v>PortuguêsGana</v>
      </c>
      <c r="AZ46" s="95" t="str">
        <f>BF16</f>
        <v>Gana</v>
      </c>
      <c r="BA46" s="86" t="str">
        <f>BF4</f>
        <v>Português</v>
      </c>
    </row>
    <row r="47" spans="1:96" ht="19.2" customHeight="1" x14ac:dyDescent="0.5">
      <c r="F47" s="60"/>
      <c r="AQ47" s="63">
        <v>7</v>
      </c>
      <c r="AR47" s="63" t="str">
        <f t="shared" si="22"/>
        <v>EnglishRepública Dominicana</v>
      </c>
      <c r="AS47" s="63" t="str">
        <f>AS38</f>
        <v>Dominican Republic</v>
      </c>
      <c r="AT47" s="63"/>
      <c r="AU47" s="63"/>
      <c r="AY47" s="63" t="str">
        <f t="shared" si="9"/>
        <v>PortuguêsRepública Dominicana</v>
      </c>
      <c r="AZ47" s="95" t="str">
        <f>BF17</f>
        <v>República Dominicana</v>
      </c>
      <c r="BA47" s="86" t="str">
        <f>BF4</f>
        <v>Português</v>
      </c>
      <c r="BH47" s="92"/>
      <c r="CO47" s="62" t="str">
        <f>IF(BQ14=FALSE,"",
IF($BP$14=0,"",
IF(OR(ISBLANK(#REF!),ISBLANK(#REF!)),"",
IF(OR($C$11=$BV$6,#REF!=""),"","• Prorated Fairtrade Premium "&amp;$BK$4&amp;" per IFCO crate of "&amp;#REF!&amp;"kg of "&amp;$C$9&amp;" from "&amp;$C$8&amp;":"))))</f>
        <v/>
      </c>
      <c r="CP47" s="62" t="str">
        <f>IF(BQ14=FALSE,"",
IF($BP$14=0,"",
IF(OR(ISBLANK(#REF!),ISBLANK(#REF!)),"",
IF(OR($C$11=$BV$6,#REF!=""),"","• Prime Fairtrade "&amp;$BK$4&amp;" Répartition pour la boîte IFCO de "&amp;#REF!&amp;"kg de "&amp;$C$9&amp;" de "&amp;$C$8&amp;":"))))</f>
        <v/>
      </c>
      <c r="CQ47" s="62" t="str">
        <f>IF(BQ14=FALSE,"",
IF($BP$14=0,"",
IF(OR(ISBLANK(#REF!),ISBLANK(#REF!)),"",
IF(OR($C$11=$BV$6,#REF!=""),"","• Prémio Fairtrade "&amp;$BK$4&amp;" Repartido para a caixa IFCO de "&amp;#REF!&amp;"kg de "&amp;$C$9&amp;" de "&amp;$C$8&amp;":"))))</f>
        <v/>
      </c>
      <c r="CR47" s="62" t="str">
        <f>IF(BQ14=FALSE,"",
IF($BP$14=0,"",
IF(OR(ISBLANK(#REF!),ISBLANK(#REF!)),"",
IF(OR($C$11=$BV$6,#REF!=""),"","• Prima Fairtrade "&amp;$BK$4&amp;" Prorrateada por caja IFCO de "&amp;#REF!&amp;"kg de "&amp;$C$9&amp;" de "&amp;$C$8&amp;":"))))</f>
        <v/>
      </c>
    </row>
    <row r="48" spans="1:96" ht="19.2" customHeight="1" x14ac:dyDescent="0.5">
      <c r="F48" s="59"/>
      <c r="AQ48" s="63">
        <v>8</v>
      </c>
      <c r="AR48" s="63" t="str">
        <f t="shared" si="22"/>
        <v>EnglishNicaragua</v>
      </c>
      <c r="AS48" s="63" t="str">
        <f>AS39</f>
        <v>Nicaragua</v>
      </c>
      <c r="AT48" s="63"/>
      <c r="AU48" s="63"/>
      <c r="AY48" s="63" t="str">
        <f t="shared" si="9"/>
        <v>PortuguêsNicarágua</v>
      </c>
      <c r="AZ48" s="95" t="str">
        <f>BF18</f>
        <v>Nicarágua</v>
      </c>
      <c r="BA48" s="86" t="str">
        <f>BF4</f>
        <v>Português</v>
      </c>
      <c r="BH48" s="92"/>
      <c r="CO48" s="62" t="str">
        <f>IF($BQ$14=FALSE,"",
IF($BP$14=0,"",
IF(ISBLANK(#REF!),"",
"• If you have a verifiable annual average price for the standard 18.14 kg carton box, different from the one used as a reference in the Minimum Price calculation, enter it here, excluding value added tax:")))</f>
        <v/>
      </c>
      <c r="CP48" s="62" t="str">
        <f>IF($BQ$14=FALSE,"",
IF($BP$14=0,"",
IF(ISBLANK(#REF!),"",
"• Si vous disposez d'un prix moyen annuel vérifiable pour la boîte en carton standard de 18,14 kg, différent de celui utilisé comme référence dans le calcul du prix minimum, indiquez-le ici, hors taxe sur la valeur ajoutée:")))</f>
        <v/>
      </c>
      <c r="CQ48" s="62" t="str">
        <f>IF($BQ$14=FALSE,"",
IF($BP$14=0,"",
IF(ISBLANK(#REF!),"",
"• Se dispuser de um preço médio anual verificável para a caixa normalizada de cartão de 18,14 kg, diferente do utilizado como referência no cálculo do preço mínimo, insira-o aqui, excluindo o imposto sobre o valor acrescentado:")))</f>
        <v/>
      </c>
      <c r="CR48" s="62" t="str">
        <f>IF($BQ$14=FALSE,"",
IF($BP$14=0,"",
IF(ISBLANK(#REF!),"",
"• Si tiene un precio promedio anual para la caja de cartón estándar de 18.14 kg, diferente al utilizado como referencia en el calculao del Precio Mínimo, que sea verificable, ingréselo aquí, sin incluir el impuesto al valor agregado:")))</f>
        <v/>
      </c>
    </row>
    <row r="49" spans="43:101" ht="19.2" customHeight="1" x14ac:dyDescent="0.3">
      <c r="AQ49" s="63">
        <v>9</v>
      </c>
      <c r="AR49" s="63" t="str">
        <f t="shared" si="22"/>
        <v>EnglishCamerún</v>
      </c>
      <c r="AS49" s="63" t="str">
        <f>AS40</f>
        <v>Cameroon</v>
      </c>
      <c r="AT49" s="63"/>
      <c r="AU49" s="63"/>
      <c r="AY49" s="63" t="str">
        <f t="shared" si="9"/>
        <v>PortuguêsCamarões</v>
      </c>
      <c r="AZ49" s="95" t="str">
        <f>BF19</f>
        <v>Camarões</v>
      </c>
      <c r="BA49" s="86" t="str">
        <f>BA48</f>
        <v>Português</v>
      </c>
      <c r="CO49" s="62" t="str">
        <f>IF($BQ$14=FALSE,"",
IF($BP$14=0,"",
"• Fairtrade Minimum Price FOB 2024 excluding the reference price for the standard 18.14kg carton:"))</f>
        <v/>
      </c>
      <c r="CP49" s="62" t="str">
        <f>IF($BQ$14=FALSE,"",
IF($BP$14=0,"",
"• Prix minimum du commerce équitable FOB 2024 excluant le prix de référence du carton standard de 18.14kg:"))</f>
        <v/>
      </c>
      <c r="CQ49" s="62" t="str">
        <f>IF($BQ$14=FALSE,"",
IF($BP$14=0,"",
"• Preço Mínimo do Comércio Justo FOB 2024 excluindo o preço de referência para a caixa de cartão padrão de 18.14kg:"))</f>
        <v/>
      </c>
      <c r="CR49" s="62" t="str">
        <f>IF($BQ$14=FALSE,"",
IF($BP$14=0,"",
"• Precio Mínimo Fairtrade FOB 2024 sin incluir el precio de referencia para la caja de cartón estándar de 18.14kg:"))</f>
        <v/>
      </c>
    </row>
    <row r="50" spans="43:101" ht="19.2" customHeight="1" x14ac:dyDescent="0.3">
      <c r="AQ50" s="63">
        <v>1</v>
      </c>
      <c r="AR50" s="65" t="str">
        <f t="shared" ref="AR50:AR58" si="28">BA32&amp;AZ23</f>
        <v>FrançaisPanama</v>
      </c>
      <c r="AS50" s="63" t="str">
        <f t="shared" ref="AS50:AS58" si="29">AZ32</f>
        <v>Panama</v>
      </c>
      <c r="AT50" s="65" t="s">
        <v>98</v>
      </c>
      <c r="AU50" s="63" t="s">
        <v>99</v>
      </c>
      <c r="AY50" s="63" t="str">
        <f t="shared" si="9"/>
        <v>EspañolPanamá</v>
      </c>
      <c r="AZ50" s="95" t="str">
        <f t="shared" ref="AZ50:AZ58" si="30">BG11</f>
        <v>Panamá</v>
      </c>
      <c r="BA50" s="86" t="str">
        <f>BG4</f>
        <v>Español</v>
      </c>
      <c r="CB50" s="62"/>
      <c r="CE50" s="62"/>
      <c r="CF50" s="62"/>
      <c r="CG50" s="62"/>
      <c r="CH50" s="62"/>
      <c r="CJ50" s="62"/>
      <c r="CK50" s="62"/>
      <c r="CO50" s="62" t="str">
        <f>IF($BQ$14=FALSE,"",
IF($BP$14=0,"",
"• Fairtrade Minimum Price FOB 2024 considering the price of the standard 18.14 kg carton box just entered:"))</f>
        <v/>
      </c>
      <c r="CP50" s="62" t="str">
        <f>IF($BQ$14=FALSE,"",
IF($BP$14=0,"",
"• Prix minimum du commerce équitable FOB 2024 compte tenu du prix de la boîte en carton standard de 18.14kg qui vient d'être saisi:"))</f>
        <v/>
      </c>
      <c r="CQ50" s="62" t="str">
        <f>IF($BQ$14=FALSE,"",
IF($BP$14=0,"",
"• Preço Mínimo de Comércio Justo FOB 2024 considerando o preço da caixa de cartão padrão de 18.14kg que acabou de ser introduzido:"))</f>
        <v/>
      </c>
      <c r="CR50" s="62" t="str">
        <f>IF($BQ$14=FALSE,"",
IF($BP$14=0,"",
"• Precio Mínimo Fairtrade FOB 2024 considerando el precio de caja de cartón estandar de 18.14kg recién ingresado:"))</f>
        <v/>
      </c>
    </row>
    <row r="51" spans="43:101" ht="19.2" customHeight="1" x14ac:dyDescent="0.3">
      <c r="AQ51" s="63">
        <v>2</v>
      </c>
      <c r="AR51" s="63" t="str">
        <f t="shared" si="28"/>
        <v>FrançaisPeru</v>
      </c>
      <c r="AS51" s="63" t="str">
        <f t="shared" si="29"/>
        <v>Pérou</v>
      </c>
      <c r="AT51" s="63"/>
      <c r="AU51" s="63"/>
      <c r="AY51" s="63" t="str">
        <f t="shared" si="9"/>
        <v>EspañolPerú</v>
      </c>
      <c r="AZ51" s="95" t="str">
        <f t="shared" si="30"/>
        <v>Perú</v>
      </c>
      <c r="BA51" s="86" t="str">
        <f>BG4</f>
        <v>Español</v>
      </c>
      <c r="CB51" s="62"/>
      <c r="CC51" s="62"/>
      <c r="CD51" s="62"/>
      <c r="CE51" s="62"/>
      <c r="CF51" s="62"/>
      <c r="CG51" s="62"/>
      <c r="CH51" s="62"/>
      <c r="CI51" s="62"/>
      <c r="CJ51" s="62"/>
      <c r="CK51" s="62"/>
      <c r="CL51" s="62"/>
      <c r="CM51" s="62"/>
      <c r="CO51" s="62" t="str">
        <f t="shared" ref="CO51:CO59" si="31">BL5</f>
        <v>Panama</v>
      </c>
      <c r="CP51" s="62" t="str">
        <f t="shared" ref="CP51:CP59" si="32">BN5</f>
        <v>Moin (CR)</v>
      </c>
      <c r="CQ51" s="62">
        <f>CB5</f>
        <v>0</v>
      </c>
    </row>
    <row r="52" spans="43:101" x14ac:dyDescent="0.3">
      <c r="AQ52" s="63">
        <v>3</v>
      </c>
      <c r="AR52" s="63" t="str">
        <f t="shared" si="28"/>
        <v>FrançaisColombia</v>
      </c>
      <c r="AS52" s="63" t="str">
        <f t="shared" si="29"/>
        <v>Colombie</v>
      </c>
      <c r="AT52" s="63"/>
      <c r="AU52" s="63"/>
      <c r="AY52" s="63" t="str">
        <f t="shared" si="9"/>
        <v>EspañolColombia</v>
      </c>
      <c r="AZ52" s="95" t="str">
        <f t="shared" si="30"/>
        <v>Colombia</v>
      </c>
      <c r="BA52" s="86" t="str">
        <f>BG4</f>
        <v>Español</v>
      </c>
      <c r="CB52" s="62"/>
      <c r="CC52" s="62"/>
      <c r="CD52" s="62"/>
      <c r="CE52" s="62"/>
      <c r="CF52" s="62"/>
      <c r="CG52" s="62"/>
      <c r="CH52" s="62"/>
      <c r="CI52" s="62"/>
      <c r="CJ52" s="62"/>
      <c r="CK52" s="62"/>
      <c r="CL52" s="62"/>
      <c r="CM52" s="62"/>
      <c r="CO52" s="62" t="str">
        <f t="shared" si="31"/>
        <v>Peru</v>
      </c>
      <c r="CP52" s="62" t="str">
        <f t="shared" si="32"/>
        <v>Paita</v>
      </c>
    </row>
    <row r="53" spans="43:101" x14ac:dyDescent="0.3">
      <c r="AQ53" s="63">
        <v>4</v>
      </c>
      <c r="AR53" s="63" t="str">
        <f t="shared" si="28"/>
        <v>FrançaisEcuador</v>
      </c>
      <c r="AS53" s="63" t="str">
        <f t="shared" si="29"/>
        <v>Équateur</v>
      </c>
      <c r="AT53" s="63"/>
      <c r="AU53" s="63"/>
      <c r="AY53" s="63" t="str">
        <f t="shared" si="9"/>
        <v>EspañolEcuador</v>
      </c>
      <c r="AZ53" s="95" t="str">
        <f t="shared" si="30"/>
        <v>Ecuador</v>
      </c>
      <c r="BA53" s="86" t="str">
        <f>BG4</f>
        <v>Español</v>
      </c>
      <c r="CB53" s="62"/>
      <c r="CC53" s="62"/>
      <c r="CD53" s="62"/>
      <c r="CE53" s="62"/>
      <c r="CF53" s="62"/>
      <c r="CG53" s="62"/>
      <c r="CH53" s="62"/>
      <c r="CI53" s="62"/>
      <c r="CJ53" s="62"/>
      <c r="CK53" s="62"/>
      <c r="CL53" s="62"/>
      <c r="CM53" s="62"/>
      <c r="CO53" s="62" t="str">
        <f t="shared" si="31"/>
        <v>Colombia</v>
      </c>
      <c r="CP53" s="62" t="str">
        <f t="shared" si="32"/>
        <v>Sta.Marta</v>
      </c>
    </row>
    <row r="54" spans="43:101" x14ac:dyDescent="0.3">
      <c r="AQ54" s="63">
        <v>5</v>
      </c>
      <c r="AR54" s="63" t="str">
        <f t="shared" si="28"/>
        <v>FrançaisSaint Lucia</v>
      </c>
      <c r="AS54" s="63" t="str">
        <f t="shared" si="29"/>
        <v>Sainte-Lucie</v>
      </c>
      <c r="AT54" s="63"/>
      <c r="AU54" s="63"/>
      <c r="AY54" s="63" t="str">
        <f t="shared" si="9"/>
        <v>EspañolSanta Lucía</v>
      </c>
      <c r="AZ54" s="95" t="str">
        <f t="shared" si="30"/>
        <v>Santa Lucía</v>
      </c>
      <c r="BA54" s="86" t="str">
        <f>BG4</f>
        <v>Español</v>
      </c>
      <c r="CB54" s="62"/>
      <c r="CC54" s="62"/>
      <c r="CD54" s="62"/>
      <c r="CE54" s="62"/>
      <c r="CF54" s="62"/>
      <c r="CG54" s="62"/>
      <c r="CH54" s="62"/>
      <c r="CI54" s="62"/>
      <c r="CJ54" s="62"/>
      <c r="CK54" s="62"/>
      <c r="CL54" s="62"/>
      <c r="CM54" s="62"/>
      <c r="CO54" s="62" t="str">
        <f t="shared" si="31"/>
        <v>Ecuador</v>
      </c>
      <c r="CP54" s="62" t="str">
        <f t="shared" si="32"/>
        <v>Bolivar</v>
      </c>
      <c r="CQ54" s="62" t="str">
        <f>CB8</f>
        <v>Guayaquil (arriving to port from Machala)</v>
      </c>
    </row>
    <row r="55" spans="43:101" x14ac:dyDescent="0.3">
      <c r="AQ55" s="63">
        <v>6</v>
      </c>
      <c r="AR55" s="63" t="str">
        <f t="shared" si="28"/>
        <v>FrançaisGhana</v>
      </c>
      <c r="AS55" s="63" t="str">
        <f t="shared" si="29"/>
        <v>Ghana</v>
      </c>
      <c r="AT55" s="63"/>
      <c r="AU55" s="63"/>
      <c r="AY55" s="63" t="str">
        <f t="shared" si="9"/>
        <v>EspañolGana</v>
      </c>
      <c r="AZ55" s="95" t="str">
        <f t="shared" si="30"/>
        <v>Gana</v>
      </c>
      <c r="BA55" s="86" t="str">
        <f>BG4</f>
        <v>Español</v>
      </c>
      <c r="CB55" s="62"/>
      <c r="CC55" s="62"/>
      <c r="CD55" s="62"/>
      <c r="CE55" s="62"/>
      <c r="CF55" s="62"/>
      <c r="CG55" s="62"/>
      <c r="CH55" s="62"/>
      <c r="CI55" s="62"/>
      <c r="CJ55" s="62"/>
      <c r="CK55" s="62"/>
      <c r="CL55" s="62"/>
      <c r="CM55" s="62"/>
      <c r="CO55" s="62">
        <f t="shared" si="31"/>
        <v>0</v>
      </c>
      <c r="CP55" s="62">
        <f t="shared" si="32"/>
        <v>0</v>
      </c>
      <c r="CQ55" s="62" t="str">
        <f>CB9</f>
        <v>Guayaquil/Posorja (arriving to port from Santa Elena)</v>
      </c>
    </row>
    <row r="56" spans="43:101" x14ac:dyDescent="0.3">
      <c r="AQ56" s="63">
        <v>7</v>
      </c>
      <c r="AR56" s="63" t="str">
        <f t="shared" si="28"/>
        <v>FrançaisDominican Republic</v>
      </c>
      <c r="AS56" s="63" t="str">
        <f t="shared" si="29"/>
        <v>République dominicaine</v>
      </c>
      <c r="AT56" s="63"/>
      <c r="AU56" s="63"/>
      <c r="AY56" s="63" t="str">
        <f t="shared" si="9"/>
        <v>EspañolRepública Dominicana</v>
      </c>
      <c r="AZ56" s="95" t="str">
        <f t="shared" si="30"/>
        <v>República Dominicana</v>
      </c>
      <c r="BA56" s="86" t="str">
        <f>BG4</f>
        <v>Español</v>
      </c>
      <c r="CB56" s="62"/>
      <c r="CC56" s="62"/>
      <c r="CD56" s="62"/>
      <c r="CE56" s="62"/>
      <c r="CF56" s="62"/>
      <c r="CG56" s="62"/>
      <c r="CH56" s="62"/>
      <c r="CI56" s="62"/>
      <c r="CJ56" s="62"/>
      <c r="CK56" s="62"/>
      <c r="CL56" s="62"/>
      <c r="CM56" s="62"/>
      <c r="CO56" s="62" t="str">
        <f t="shared" si="31"/>
        <v>Ghana</v>
      </c>
      <c r="CP56" s="62" t="str">
        <f t="shared" si="32"/>
        <v>Tema</v>
      </c>
    </row>
    <row r="57" spans="43:101" x14ac:dyDescent="0.3">
      <c r="AQ57" s="63">
        <v>8</v>
      </c>
      <c r="AR57" s="63" t="str">
        <f t="shared" si="28"/>
        <v>FrançaisNicaragua</v>
      </c>
      <c r="AS57" s="63" t="str">
        <f t="shared" si="29"/>
        <v>Nicaragua</v>
      </c>
      <c r="AT57" s="63"/>
      <c r="AU57" s="63"/>
      <c r="AY57" s="63" t="str">
        <f t="shared" si="9"/>
        <v>EspañolNicaragua</v>
      </c>
      <c r="AZ57" s="95" t="str">
        <f t="shared" si="30"/>
        <v>Nicaragua</v>
      </c>
      <c r="BA57" s="86" t="str">
        <f>BG4</f>
        <v>Español</v>
      </c>
      <c r="CB57" s="62"/>
      <c r="CC57" s="62"/>
      <c r="CD57" s="62"/>
      <c r="CE57" s="62"/>
      <c r="CF57" s="62"/>
      <c r="CG57" s="62"/>
      <c r="CH57" s="62"/>
      <c r="CI57" s="62"/>
      <c r="CJ57" s="62"/>
      <c r="CK57" s="62"/>
      <c r="CL57" s="62"/>
      <c r="CM57" s="62"/>
      <c r="CO57" s="62" t="str">
        <f t="shared" si="31"/>
        <v>Dominican Republic</v>
      </c>
      <c r="CP57" s="62" t="str">
        <f t="shared" si="32"/>
        <v>Manzanillo</v>
      </c>
      <c r="CQ57" s="62" t="str">
        <f>CB11</f>
        <v>Caucedo</v>
      </c>
    </row>
    <row r="58" spans="43:101" x14ac:dyDescent="0.3">
      <c r="AQ58" s="63">
        <v>9</v>
      </c>
      <c r="AR58" s="63" t="str">
        <f t="shared" si="28"/>
        <v>FrançaisCameroon</v>
      </c>
      <c r="AS58" s="63" t="str">
        <f t="shared" si="29"/>
        <v>Cameroun</v>
      </c>
      <c r="AT58" s="63"/>
      <c r="AU58" s="63"/>
      <c r="AY58" s="63" t="str">
        <f t="shared" si="9"/>
        <v>EspañolCamerún</v>
      </c>
      <c r="AZ58" s="95" t="str">
        <f t="shared" si="30"/>
        <v>Camerún</v>
      </c>
      <c r="BA58" s="86" t="str">
        <f>BA57</f>
        <v>Español</v>
      </c>
      <c r="CB58" s="62"/>
      <c r="CC58" s="62"/>
      <c r="CD58" s="62"/>
      <c r="CE58" s="62"/>
      <c r="CF58" s="62"/>
      <c r="CG58" s="62"/>
      <c r="CH58" s="62"/>
      <c r="CI58" s="62"/>
      <c r="CJ58" s="62"/>
      <c r="CK58" s="62"/>
      <c r="CL58" s="62"/>
      <c r="CM58" s="62"/>
      <c r="CO58" s="62" t="str">
        <f t="shared" si="31"/>
        <v>Nicaragua</v>
      </c>
      <c r="CP58" s="62" t="str">
        <f t="shared" si="32"/>
        <v>Corinto</v>
      </c>
      <c r="CQ58" s="62" t="str">
        <f>CB12</f>
        <v>Moin (CR)/Cortez (HN)</v>
      </c>
    </row>
    <row r="59" spans="43:101" x14ac:dyDescent="0.3">
      <c r="AQ59" s="63">
        <v>1</v>
      </c>
      <c r="AR59" s="65" t="str">
        <f t="shared" ref="AR59:AR67" si="33">BA32&amp;AZ41</f>
        <v>FrançaisPanamá</v>
      </c>
      <c r="AS59" s="63" t="str">
        <f t="shared" ref="AS59:AS76" si="34">AS50</f>
        <v>Panama</v>
      </c>
      <c r="AT59" s="65" t="s">
        <v>100</v>
      </c>
      <c r="AU59" s="63" t="s">
        <v>99</v>
      </c>
      <c r="CB59" s="62"/>
      <c r="CC59" s="62"/>
      <c r="CD59" s="62"/>
      <c r="CE59" s="62"/>
      <c r="CF59" s="62"/>
      <c r="CG59" s="62"/>
      <c r="CH59" s="62"/>
      <c r="CI59" s="62"/>
      <c r="CJ59" s="62"/>
      <c r="CK59" s="62"/>
      <c r="CL59" s="62"/>
      <c r="CM59" s="62"/>
      <c r="CO59" s="62" t="str">
        <f t="shared" si="31"/>
        <v>Cameroon</v>
      </c>
      <c r="CP59" s="62" t="str">
        <f t="shared" si="32"/>
        <v>Douala</v>
      </c>
    </row>
    <row r="60" spans="43:101" x14ac:dyDescent="0.3">
      <c r="AQ60" s="63">
        <v>2</v>
      </c>
      <c r="AR60" s="63" t="str">
        <f t="shared" si="33"/>
        <v>FrançaisPeru</v>
      </c>
      <c r="AS60" s="63" t="str">
        <f t="shared" si="34"/>
        <v>Pérou</v>
      </c>
      <c r="AT60" s="63"/>
      <c r="AU60" s="63"/>
    </row>
    <row r="61" spans="43:101" x14ac:dyDescent="0.3">
      <c r="AQ61" s="63">
        <v>3</v>
      </c>
      <c r="AR61" s="63" t="str">
        <f t="shared" si="33"/>
        <v>FrançaisColômbia</v>
      </c>
      <c r="AS61" s="63" t="str">
        <f t="shared" si="34"/>
        <v>Colombie</v>
      </c>
      <c r="AT61" s="63"/>
      <c r="AU61" s="63"/>
      <c r="CB61" s="62"/>
    </row>
    <row r="62" spans="43:101" x14ac:dyDescent="0.3">
      <c r="AQ62" s="63">
        <v>4</v>
      </c>
      <c r="AR62" s="63" t="str">
        <f t="shared" si="33"/>
        <v>FrançaisEquador</v>
      </c>
      <c r="AS62" s="63" t="str">
        <f t="shared" si="34"/>
        <v>Équateur</v>
      </c>
      <c r="AT62" s="63"/>
      <c r="AU62" s="63"/>
      <c r="CE62" s="62"/>
      <c r="CH62" s="62"/>
      <c r="CI62" s="62"/>
      <c r="CJ62" s="62"/>
      <c r="CO62" s="79" t="str">
        <f>CO51</f>
        <v>Panama</v>
      </c>
      <c r="CP62" s="79" t="str">
        <f>CO52</f>
        <v>Peru</v>
      </c>
      <c r="CQ62" s="79" t="str">
        <f>CO53</f>
        <v>Colombia</v>
      </c>
      <c r="CR62" s="79" t="str">
        <f>CO54</f>
        <v>Ecuador</v>
      </c>
      <c r="CS62" s="79">
        <f>CO55</f>
        <v>0</v>
      </c>
      <c r="CT62" s="79" t="str">
        <f>CO56</f>
        <v>Ghana</v>
      </c>
      <c r="CU62" s="79" t="str">
        <f>CO57</f>
        <v>Dominican Republic</v>
      </c>
      <c r="CV62" s="79" t="str">
        <f>CO58</f>
        <v>Nicaragua</v>
      </c>
      <c r="CW62" s="79" t="str">
        <f>CO59</f>
        <v>Cameroon</v>
      </c>
    </row>
    <row r="63" spans="43:101" x14ac:dyDescent="0.3">
      <c r="AQ63" s="63">
        <v>5</v>
      </c>
      <c r="AR63" s="63" t="str">
        <f t="shared" si="33"/>
        <v>FrançaisSanta Lúcia</v>
      </c>
      <c r="AS63" s="63" t="str">
        <f t="shared" si="34"/>
        <v>Sainte-Lucie</v>
      </c>
      <c r="AT63" s="63"/>
      <c r="AU63" s="63"/>
      <c r="CE63" s="62"/>
      <c r="CH63" s="62"/>
      <c r="CI63" s="62"/>
      <c r="CJ63" s="62"/>
      <c r="CN63" s="63" t="s">
        <v>151</v>
      </c>
      <c r="CO63" s="62" t="str">
        <f>CP51</f>
        <v>Moin (CR)</v>
      </c>
      <c r="CP63" s="62" t="str">
        <f>CP52</f>
        <v>Paita</v>
      </c>
      <c r="CQ63" s="62" t="str">
        <f>BN7</f>
        <v>Sta.Marta</v>
      </c>
      <c r="CR63" s="62" t="str">
        <f>CP54</f>
        <v>Bolivar</v>
      </c>
      <c r="CS63" s="62">
        <f>CP55</f>
        <v>0</v>
      </c>
      <c r="CT63" s="62" t="str">
        <f>CP56</f>
        <v>Tema</v>
      </c>
      <c r="CU63" s="62" t="str">
        <f>CP57</f>
        <v>Manzanillo</v>
      </c>
      <c r="CV63" s="62" t="str">
        <f>CP58</f>
        <v>Corinto</v>
      </c>
      <c r="CW63" s="62" t="str">
        <f>CP59</f>
        <v>Douala</v>
      </c>
    </row>
    <row r="64" spans="43:101" x14ac:dyDescent="0.3">
      <c r="AQ64" s="63">
        <v>6</v>
      </c>
      <c r="AR64" s="63" t="str">
        <f t="shared" si="33"/>
        <v>FrançaisGana</v>
      </c>
      <c r="AS64" s="63" t="str">
        <f t="shared" si="34"/>
        <v>Ghana</v>
      </c>
      <c r="AT64" s="63"/>
      <c r="AU64" s="63"/>
      <c r="CE64" s="62"/>
      <c r="CH64" s="62"/>
      <c r="CI64" s="62"/>
      <c r="CJ64" s="62"/>
      <c r="CN64" s="63" t="s">
        <v>152</v>
      </c>
      <c r="CO64" s="62">
        <f>CQ51</f>
        <v>0</v>
      </c>
      <c r="CR64" s="62" t="str">
        <f>CQ54</f>
        <v>Guayaquil (arriving to port from Machala)</v>
      </c>
      <c r="CU64" s="62" t="str">
        <f>CQ57</f>
        <v>Caucedo</v>
      </c>
      <c r="CV64" s="62" t="str">
        <f>CQ58</f>
        <v>Moin (CR)/Cortez (HN)</v>
      </c>
      <c r="CW64" s="62">
        <f>CB13</f>
        <v>0</v>
      </c>
    </row>
    <row r="65" spans="43:97" x14ac:dyDescent="0.3">
      <c r="AQ65" s="63">
        <v>7</v>
      </c>
      <c r="AR65" s="63" t="str">
        <f t="shared" si="33"/>
        <v>FrançaisRepública Dominicana</v>
      </c>
      <c r="AS65" s="63" t="str">
        <f t="shared" si="34"/>
        <v>République dominicaine</v>
      </c>
      <c r="AT65" s="63"/>
      <c r="AU65" s="63"/>
      <c r="CE65" s="62"/>
      <c r="CH65" s="62"/>
      <c r="CI65" s="62"/>
      <c r="CJ65" s="62"/>
      <c r="CR65" s="62" t="str">
        <f>CQ55</f>
        <v>Guayaquil/Posorja (arriving to port from Santa Elena)</v>
      </c>
    </row>
    <row r="66" spans="43:97" x14ac:dyDescent="0.3">
      <c r="AQ66" s="63">
        <v>8</v>
      </c>
      <c r="AR66" s="63" t="str">
        <f t="shared" si="33"/>
        <v>FrançaisNicarágua</v>
      </c>
      <c r="AS66" s="63" t="str">
        <f t="shared" si="34"/>
        <v>Nicaragua</v>
      </c>
      <c r="AT66" s="63"/>
      <c r="AU66" s="63"/>
      <c r="CE66" s="62"/>
      <c r="CH66" s="62"/>
      <c r="CI66" s="62"/>
      <c r="CJ66" s="62"/>
    </row>
    <row r="67" spans="43:97" x14ac:dyDescent="0.3">
      <c r="AQ67" s="63">
        <v>9</v>
      </c>
      <c r="AR67" s="63" t="str">
        <f t="shared" si="33"/>
        <v>FrançaisCamarões</v>
      </c>
      <c r="AS67" s="63" t="str">
        <f t="shared" si="34"/>
        <v>Cameroun</v>
      </c>
      <c r="AT67" s="63"/>
      <c r="AU67" s="63"/>
      <c r="CE67" s="62"/>
      <c r="CH67" s="62"/>
      <c r="CI67" s="62"/>
      <c r="CJ67" s="62"/>
      <c r="CS67" s="79" t="e">
        <f>IF(#REF!=FALSE,"",
IF($D$2=$CJ$4,CO67,
IF($D$2=$CJ$5,CP67,
IF($D$2=$CJ$6,CQ67,
CR67))))</f>
        <v>#REF!</v>
      </c>
    </row>
    <row r="68" spans="43:97" x14ac:dyDescent="0.3">
      <c r="AQ68" s="63">
        <v>1</v>
      </c>
      <c r="AR68" s="65" t="str">
        <f t="shared" ref="AR68:AR76" si="35">BA32&amp;AZ50</f>
        <v>FrançaisPanamá</v>
      </c>
      <c r="AS68" s="63" t="str">
        <f t="shared" si="34"/>
        <v>Panama</v>
      </c>
      <c r="AT68" s="65" t="s">
        <v>101</v>
      </c>
      <c r="AU68" s="63" t="s">
        <v>99</v>
      </c>
      <c r="CE68" s="62"/>
      <c r="CH68" s="62"/>
      <c r="CI68" s="62"/>
      <c r="CJ68" s="62"/>
    </row>
    <row r="69" spans="43:97" x14ac:dyDescent="0.3">
      <c r="AQ69" s="63">
        <v>2</v>
      </c>
      <c r="AR69" s="63" t="str">
        <f t="shared" si="35"/>
        <v>FrançaisPerú</v>
      </c>
      <c r="AS69" s="63" t="str">
        <f t="shared" si="34"/>
        <v>Pérou</v>
      </c>
      <c r="AT69" s="63"/>
      <c r="AU69" s="63"/>
      <c r="CE69" s="62"/>
      <c r="CH69" s="62"/>
      <c r="CI69" s="62"/>
      <c r="CJ69" s="62"/>
    </row>
    <row r="70" spans="43:97" x14ac:dyDescent="0.3">
      <c r="AQ70" s="63">
        <v>3</v>
      </c>
      <c r="AR70" s="63" t="str">
        <f t="shared" si="35"/>
        <v>FrançaisColombia</v>
      </c>
      <c r="AS70" s="63" t="str">
        <f t="shared" si="34"/>
        <v>Colombie</v>
      </c>
      <c r="AT70" s="63"/>
      <c r="AU70" s="63"/>
      <c r="CE70" s="62"/>
      <c r="CH70" s="62"/>
      <c r="CI70" s="62"/>
      <c r="CJ70" s="62"/>
      <c r="CR70" s="79"/>
    </row>
    <row r="71" spans="43:97" x14ac:dyDescent="0.3">
      <c r="AQ71" s="63">
        <v>4</v>
      </c>
      <c r="AR71" s="63" t="str">
        <f t="shared" si="35"/>
        <v>FrançaisEcuador</v>
      </c>
      <c r="AS71" s="63" t="str">
        <f t="shared" si="34"/>
        <v>Équateur</v>
      </c>
      <c r="AT71" s="63"/>
      <c r="AU71" s="63"/>
      <c r="CR71" s="79"/>
    </row>
    <row r="72" spans="43:97" x14ac:dyDescent="0.3">
      <c r="AQ72" s="63">
        <v>5</v>
      </c>
      <c r="AR72" s="63" t="str">
        <f t="shared" si="35"/>
        <v>FrançaisSanta Lucía</v>
      </c>
      <c r="AS72" s="63" t="str">
        <f t="shared" si="34"/>
        <v>Sainte-Lucie</v>
      </c>
      <c r="AT72" s="63"/>
      <c r="AU72" s="63"/>
      <c r="CB72" s="65" t="s">
        <v>126</v>
      </c>
      <c r="CC72" s="65" t="s">
        <v>131</v>
      </c>
      <c r="CD72" s="65" t="s">
        <v>2</v>
      </c>
      <c r="CJ72" s="65" t="s">
        <v>127</v>
      </c>
      <c r="CK72" s="65" t="s">
        <v>128</v>
      </c>
      <c r="CR72" s="96"/>
    </row>
    <row r="73" spans="43:97" x14ac:dyDescent="0.3">
      <c r="AQ73" s="63">
        <v>6</v>
      </c>
      <c r="AR73" s="63" t="str">
        <f t="shared" si="35"/>
        <v>FrançaisGana</v>
      </c>
      <c r="AS73" s="63" t="str">
        <f t="shared" si="34"/>
        <v>Ghana</v>
      </c>
      <c r="AT73" s="63"/>
      <c r="AU73" s="63"/>
      <c r="BW73" s="63" t="s">
        <v>127</v>
      </c>
      <c r="BX73" s="63" t="s">
        <v>129</v>
      </c>
      <c r="BZ73" s="63">
        <v>1</v>
      </c>
      <c r="CA73" s="63" t="str">
        <f t="shared" ref="CA73:CA81" si="36">BL5&amp;"conv"&amp;BN5</f>
        <v>PanamaconvMoin (CR)</v>
      </c>
      <c r="CB73" s="62">
        <f t="shared" ref="CB73:CB81" si="37">BM5</f>
        <v>1.7</v>
      </c>
      <c r="CC73" s="62">
        <f t="shared" ref="CC73:CC81" si="38">BW5</f>
        <v>7.9</v>
      </c>
      <c r="CD73" s="62">
        <f t="shared" ref="CD73:CD81" si="39">BP5</f>
        <v>11.4</v>
      </c>
      <c r="CJ73" s="63" t="str">
        <f>BL5</f>
        <v>Panama</v>
      </c>
      <c r="CK73" s="63" t="str">
        <f>BL6</f>
        <v>Peru</v>
      </c>
    </row>
    <row r="74" spans="43:97" x14ac:dyDescent="0.3">
      <c r="AQ74" s="63">
        <v>7</v>
      </c>
      <c r="AR74" s="63" t="str">
        <f t="shared" si="35"/>
        <v>FrançaisRepública Dominicana</v>
      </c>
      <c r="AS74" s="63" t="str">
        <f t="shared" si="34"/>
        <v>République dominicaine</v>
      </c>
      <c r="AT74" s="63"/>
      <c r="AU74" s="63"/>
      <c r="BZ74" s="63">
        <v>2</v>
      </c>
      <c r="CA74" s="63" t="str">
        <f t="shared" si="36"/>
        <v>PeruconvPaita</v>
      </c>
      <c r="CB74" s="62">
        <f t="shared" si="37"/>
        <v>1.85</v>
      </c>
      <c r="CC74" s="62">
        <f t="shared" si="38"/>
        <v>0</v>
      </c>
      <c r="CD74" s="62">
        <f t="shared" si="39"/>
        <v>0</v>
      </c>
      <c r="CJ74" s="63" t="str">
        <f t="shared" ref="CJ74:CJ80" si="40">BL7</f>
        <v>Colombia</v>
      </c>
      <c r="CK74" s="63" t="str">
        <f>CJ75</f>
        <v>Ecuador</v>
      </c>
      <c r="CS74" s="62" t="s">
        <v>19</v>
      </c>
    </row>
    <row r="75" spans="43:97" x14ac:dyDescent="0.3">
      <c r="AQ75" s="63">
        <v>8</v>
      </c>
      <c r="AR75" s="63" t="str">
        <f t="shared" si="35"/>
        <v>FrançaisNicaragua</v>
      </c>
      <c r="AS75" s="63" t="str">
        <f t="shared" si="34"/>
        <v>Nicaragua</v>
      </c>
      <c r="AT75" s="63"/>
      <c r="AU75" s="63"/>
      <c r="BZ75" s="63">
        <v>3</v>
      </c>
      <c r="CA75" s="63" t="str">
        <f t="shared" si="36"/>
        <v>ColombiaconvSta.Marta</v>
      </c>
      <c r="CB75" s="62">
        <f t="shared" si="37"/>
        <v>1.65</v>
      </c>
      <c r="CC75" s="62">
        <f t="shared" si="38"/>
        <v>8.25</v>
      </c>
      <c r="CD75" s="62">
        <f t="shared" si="39"/>
        <v>11.55</v>
      </c>
      <c r="CJ75" s="63" t="str">
        <f t="shared" si="40"/>
        <v>Ecuador</v>
      </c>
      <c r="CK75" s="63" t="str">
        <f>CJ77</f>
        <v>Ghana</v>
      </c>
      <c r="CS75" s="62" t="s">
        <v>19</v>
      </c>
    </row>
    <row r="76" spans="43:97" x14ac:dyDescent="0.3">
      <c r="AQ76" s="63">
        <v>9</v>
      </c>
      <c r="AR76" s="63" t="str">
        <f t="shared" si="35"/>
        <v>FrançaisCamerún</v>
      </c>
      <c r="AS76" s="63" t="str">
        <f t="shared" si="34"/>
        <v>Cameroun</v>
      </c>
      <c r="AT76" s="63"/>
      <c r="AU76" s="63"/>
      <c r="BZ76" s="63">
        <v>4</v>
      </c>
      <c r="CA76" s="63" t="str">
        <f t="shared" si="36"/>
        <v>EcuadorconvBolivar</v>
      </c>
      <c r="CB76" s="62">
        <f t="shared" si="37"/>
        <v>1.45</v>
      </c>
      <c r="CC76" s="62">
        <f t="shared" si="38"/>
        <v>7.25</v>
      </c>
      <c r="CD76" s="62">
        <f t="shared" si="39"/>
        <v>11.05</v>
      </c>
      <c r="CJ76" s="63">
        <f t="shared" si="40"/>
        <v>0</v>
      </c>
      <c r="CK76" s="63" t="str">
        <f>CJ78</f>
        <v>Dominican Republic</v>
      </c>
      <c r="CS76" s="62" t="s">
        <v>19</v>
      </c>
    </row>
    <row r="77" spans="43:97" x14ac:dyDescent="0.3">
      <c r="AQ77" s="63">
        <v>1</v>
      </c>
      <c r="AR77" s="65" t="str">
        <f t="shared" ref="AR77:AR85" si="41">BA41&amp;AZ23</f>
        <v>PortuguêsPanama</v>
      </c>
      <c r="AS77" s="63" t="str">
        <f>AZ41</f>
        <v>Panamá</v>
      </c>
      <c r="AT77" s="65" t="s">
        <v>102</v>
      </c>
      <c r="AU77" s="63" t="s">
        <v>103</v>
      </c>
      <c r="BZ77" s="63">
        <v>5</v>
      </c>
      <c r="CA77" s="63" t="str">
        <f t="shared" si="36"/>
        <v>conv</v>
      </c>
      <c r="CB77" s="62">
        <f t="shared" si="37"/>
        <v>0</v>
      </c>
      <c r="CC77" s="62">
        <f t="shared" si="38"/>
        <v>0</v>
      </c>
      <c r="CD77" s="62">
        <f t="shared" si="39"/>
        <v>0</v>
      </c>
      <c r="CJ77" s="63" t="str">
        <f t="shared" si="40"/>
        <v>Ghana</v>
      </c>
      <c r="CK77" s="63" t="str">
        <f>CJ74</f>
        <v>Colombia</v>
      </c>
    </row>
    <row r="78" spans="43:97" x14ac:dyDescent="0.3">
      <c r="AQ78" s="63">
        <v>2</v>
      </c>
      <c r="AR78" s="63" t="str">
        <f t="shared" si="41"/>
        <v>PortuguêsPeru</v>
      </c>
      <c r="AS78" s="63" t="str">
        <f>AZ42</f>
        <v>Peru</v>
      </c>
      <c r="AT78" s="63"/>
      <c r="AU78" s="63"/>
      <c r="BZ78" s="63">
        <v>6</v>
      </c>
      <c r="CA78" s="63" t="str">
        <f t="shared" si="36"/>
        <v>GhanaconvTema</v>
      </c>
      <c r="CB78" s="62">
        <f t="shared" si="37"/>
        <v>1.4</v>
      </c>
      <c r="CC78" s="62">
        <f t="shared" si="38"/>
        <v>8.1</v>
      </c>
      <c r="CD78" s="62">
        <f t="shared" si="39"/>
        <v>10.9</v>
      </c>
      <c r="CJ78" s="63" t="str">
        <f t="shared" si="40"/>
        <v>Dominican Republic</v>
      </c>
    </row>
    <row r="79" spans="43:97" x14ac:dyDescent="0.3">
      <c r="AQ79" s="63">
        <v>3</v>
      </c>
      <c r="AR79" s="63" t="str">
        <f t="shared" si="41"/>
        <v>PortuguêsColombia</v>
      </c>
      <c r="AS79" s="63" t="str">
        <f>AZ43</f>
        <v>Colômbia</v>
      </c>
      <c r="AT79" s="63"/>
      <c r="AU79" s="63"/>
      <c r="BZ79" s="63">
        <v>7</v>
      </c>
      <c r="CA79" s="63" t="str">
        <f t="shared" si="36"/>
        <v>Dominican RepublicconvManzanillo</v>
      </c>
      <c r="CB79" s="62">
        <f t="shared" si="37"/>
        <v>2.09</v>
      </c>
      <c r="CC79" s="62">
        <f t="shared" si="38"/>
        <v>8.15</v>
      </c>
      <c r="CD79" s="62">
        <f t="shared" si="39"/>
        <v>12.6</v>
      </c>
      <c r="CJ79" s="63" t="str">
        <f t="shared" si="40"/>
        <v>Nicaragua</v>
      </c>
      <c r="CS79" s="62" t="s">
        <v>19</v>
      </c>
    </row>
    <row r="80" spans="43:97" x14ac:dyDescent="0.3">
      <c r="AQ80" s="63">
        <v>4</v>
      </c>
      <c r="AR80" s="63" t="str">
        <f t="shared" si="41"/>
        <v>PortuguêsEcuador</v>
      </c>
      <c r="AS80" s="63" t="str">
        <f>AZ44</f>
        <v>Equador</v>
      </c>
      <c r="AT80" s="63"/>
      <c r="AU80" s="63"/>
      <c r="BZ80" s="63">
        <v>8</v>
      </c>
      <c r="CA80" s="63" t="str">
        <f t="shared" si="36"/>
        <v>NicaraguaconvCorinto</v>
      </c>
      <c r="CB80" s="62">
        <f t="shared" si="37"/>
        <v>1.65</v>
      </c>
      <c r="CC80" s="62">
        <f t="shared" si="38"/>
        <v>7.25</v>
      </c>
      <c r="CD80" s="97">
        <f t="shared" si="39"/>
        <v>10.85</v>
      </c>
      <c r="CJ80" s="63" t="str">
        <f t="shared" si="40"/>
        <v>Cameroon</v>
      </c>
    </row>
    <row r="81" spans="43:97" x14ac:dyDescent="0.3">
      <c r="AQ81" s="63">
        <v>5</v>
      </c>
      <c r="AR81" s="63" t="str">
        <f t="shared" si="41"/>
        <v>PortuguêsSaint Lucia</v>
      </c>
      <c r="AS81" s="63" t="str">
        <f t="shared" ref="AS81:AS85" si="42">AZ45</f>
        <v>Santa Lúcia</v>
      </c>
      <c r="AT81" s="63"/>
      <c r="AU81" s="63"/>
      <c r="BZ81" s="63">
        <v>9</v>
      </c>
      <c r="CA81" s="63" t="str">
        <f t="shared" si="36"/>
        <v>CameroonconvDouala</v>
      </c>
      <c r="CB81" s="62">
        <f t="shared" si="37"/>
        <v>1.45</v>
      </c>
      <c r="CC81" s="62">
        <f t="shared" si="38"/>
        <v>7.75</v>
      </c>
      <c r="CD81" s="97">
        <f t="shared" si="39"/>
        <v>10.5</v>
      </c>
      <c r="CO81" s="62" t="str">
        <f>"Costs for the use of IFCO crates for the producer trading at FOB level (From the following list "&amp;CO82&amp;" trading at FOB level: rental of IFCO crates, destocking, customs and clearance, transport of IFCO crates to the farm, etc.):"</f>
        <v>Costs for the use of IFCO crates for the producer trading at FOB level (From the following list " C O N S I D E R   O N L Y   T H O S E   C O S T S   I N C U R R E D   B Y   T H E   P R O D U C E R " trading at FOB level: rental of IFCO crates, destocking, customs and clearance, transport of IFCO crates to the farm, etc.):</v>
      </c>
      <c r="CP81" s="62" t="str">
        <f>"Coûts d'utilisation des caisses IFCO pour le producteur négociant au niveau FOB (A partir de la liste suivante "&amp;CP82&amp;" négociant au niveau FOB : location des caisses IFCO, déstockage, douane et dédouanement, transport des caisses IFCO jusqu'à l'exploitation, etc.):"</f>
        <v>Coûts d'utilisation des caisses IFCO pour le producteur négociant au niveau FOB (A partir de la liste suivante " N E   C O N S I D E R E R   Q U E   L E S   C O U T S   S U P P O R T E S   P A R   L E   P R O D U C T E U R " négociant au niveau FOB : location des caisses IFCO, déstockage, douane et dédouanement, transport des caisses IFCO jusqu'à l'exploitation, etc.):</v>
      </c>
      <c r="CQ81" s="62" t="str">
        <f>"Custos de utilização de caixas IFCO para o produtor que efectua trocas comerciais ao nível FOB (da lista seguinte "&amp;CQ82&amp;" que comercializa ao nível FOB: aluguer de caixas IFCO, desarmazenagem, alfândegas e desalfandegamento, transporte das caixas IFCO para a exploração, etc.):"</f>
        <v>Custos de utilização de caixas IFCO para o produtor que efectua trocas comerciais ao nível FOB (da lista seguinte " C O N S I D E R A R   A P E N A S   O S   C U S T O S   I N C O R R I D O S   P E L O   P R O D U C E R " que comercializa ao nível FOB: aluguer de caixas IFCO, desarmazenagem, alfândegas e desalfandegamento, transporte das caixas IFCO para a exploração, etc.):</v>
      </c>
      <c r="CR81" s="62" t="str">
        <f>"Costos por uso de cajas IFCO para el productor que comercializa a nivel FOB (De la siguiente lista "&amp;CR82&amp;" que comercializa a nivel FOB: arriendo de cajas IFCO, desalmacenaje, nacionalización, transporte de cajas IFCO a la finca, etc):"</f>
        <v>Costos por uso de cajas IFCO para el productor que comercializa a nivel FOB (De la siguiente lista " C O N S I D E R E   S O L A M E N T E   A Q U E L L O S   C O S T O S   I N C U R R I D O S   P O R   E L   P R O D U C T O R " que comercializa a nivel FOB: arriendo de cajas IFCO, desalmacenaje, nacionalización, transporte de cajas IFCO a la finca, etc):</v>
      </c>
    </row>
    <row r="82" spans="43:97" x14ac:dyDescent="0.3">
      <c r="AQ82" s="63">
        <v>6</v>
      </c>
      <c r="AR82" s="63" t="str">
        <f t="shared" si="41"/>
        <v>PortuguêsGhana</v>
      </c>
      <c r="AS82" s="63" t="str">
        <f t="shared" si="42"/>
        <v>Gana</v>
      </c>
      <c r="AT82" s="63"/>
      <c r="AU82" s="63"/>
      <c r="BW82" s="63" t="s">
        <v>127</v>
      </c>
      <c r="BX82" s="63" t="s">
        <v>130</v>
      </c>
      <c r="BZ82" s="63">
        <v>1</v>
      </c>
      <c r="CA82" s="63" t="str">
        <f>BL5&amp;"conv"&amp;CB5</f>
        <v>Panamaconv</v>
      </c>
      <c r="CB82" s="63">
        <f>CB73</f>
        <v>1.7</v>
      </c>
      <c r="CC82" s="63">
        <f>CC73</f>
        <v>7.9</v>
      </c>
      <c r="CD82" s="84">
        <f>BZ5+CC82</f>
        <v>7.9</v>
      </c>
      <c r="CO82" s="65" t="s">
        <v>167</v>
      </c>
      <c r="CP82" s="79" t="s">
        <v>168</v>
      </c>
      <c r="CQ82" s="79" t="s">
        <v>169</v>
      </c>
      <c r="CR82" s="98" t="s">
        <v>166</v>
      </c>
      <c r="CS82" s="62" t="s">
        <v>19</v>
      </c>
    </row>
    <row r="83" spans="43:97" x14ac:dyDescent="0.3">
      <c r="AQ83" s="63">
        <v>7</v>
      </c>
      <c r="AR83" s="63" t="str">
        <f t="shared" si="41"/>
        <v>PortuguêsDominican Republic</v>
      </c>
      <c r="AS83" s="63" t="str">
        <f t="shared" si="42"/>
        <v>República Dominicana</v>
      </c>
      <c r="AT83" s="63"/>
      <c r="AU83" s="63"/>
      <c r="BZ83" s="63">
        <v>2</v>
      </c>
      <c r="CA83" s="63" t="str">
        <f>BL6&amp;"conv"&amp;CB6</f>
        <v>Peruconv</v>
      </c>
      <c r="CB83" s="63">
        <f t="shared" ref="CB83:CC108" si="43">CB74</f>
        <v>1.85</v>
      </c>
      <c r="CC83" s="63">
        <f t="shared" si="43"/>
        <v>0</v>
      </c>
      <c r="CD83" s="84">
        <f>BZ6+CC83</f>
        <v>0</v>
      </c>
      <c r="CO83" s="62" t="s">
        <v>138</v>
      </c>
      <c r="CP83" s="62" t="s">
        <v>139</v>
      </c>
      <c r="CQ83" s="62" t="s">
        <v>140</v>
      </c>
      <c r="CR83" s="62" t="s">
        <v>141</v>
      </c>
    </row>
    <row r="84" spans="43:97" x14ac:dyDescent="0.3">
      <c r="AQ84" s="63">
        <v>8</v>
      </c>
      <c r="AR84" s="63" t="str">
        <f t="shared" si="41"/>
        <v>PortuguêsNicaragua</v>
      </c>
      <c r="AS84" s="63" t="str">
        <f t="shared" si="42"/>
        <v>Nicarágua</v>
      </c>
      <c r="AT84" s="63"/>
      <c r="AU84" s="63"/>
      <c r="BZ84" s="63">
        <v>3</v>
      </c>
      <c r="CA84" s="63" t="str">
        <f>BL7&amp;"conv"&amp;CB7</f>
        <v>Colombiaconv</v>
      </c>
      <c r="CB84" s="63">
        <f t="shared" si="43"/>
        <v>1.65</v>
      </c>
      <c r="CC84" s="63">
        <f t="shared" si="43"/>
        <v>8.25</v>
      </c>
      <c r="CD84" s="84">
        <f>(BZ7+CC84)*0</f>
        <v>0</v>
      </c>
      <c r="CO84" s="62" t="s">
        <v>142</v>
      </c>
      <c r="CP84" s="62" t="s">
        <v>143</v>
      </c>
      <c r="CQ84" s="62" t="s">
        <v>144</v>
      </c>
      <c r="CR84" s="62" t="s">
        <v>145</v>
      </c>
    </row>
    <row r="85" spans="43:97" x14ac:dyDescent="0.3">
      <c r="AQ85" s="63">
        <v>9</v>
      </c>
      <c r="AR85" s="63" t="str">
        <f t="shared" si="41"/>
        <v>PortuguêsCameroon</v>
      </c>
      <c r="AS85" s="63" t="str">
        <f t="shared" si="42"/>
        <v>Camarões</v>
      </c>
      <c r="AT85" s="63"/>
      <c r="AU85" s="63"/>
      <c r="BZ85" s="63">
        <v>4</v>
      </c>
      <c r="CA85" s="63" t="str">
        <f>BL8&amp;"conv"&amp;CB8</f>
        <v>EcuadorconvGuayaquil (arriving to port from Machala)</v>
      </c>
      <c r="CB85" s="63">
        <f t="shared" si="43"/>
        <v>1.45</v>
      </c>
      <c r="CC85" s="63">
        <f>CC76</f>
        <v>7.25</v>
      </c>
      <c r="CD85" s="84">
        <f>BZ8+CC85</f>
        <v>11.370000000000001</v>
      </c>
      <c r="CO85" s="63"/>
      <c r="CR85" s="62" t="s">
        <v>175</v>
      </c>
    </row>
    <row r="86" spans="43:97" x14ac:dyDescent="0.3">
      <c r="AQ86" s="63">
        <v>1</v>
      </c>
      <c r="AR86" s="65" t="str">
        <f t="shared" ref="AR86:AR94" si="44">BA41&amp;AZ32</f>
        <v>PortuguêsPanama</v>
      </c>
      <c r="AS86" s="63" t="str">
        <f t="shared" ref="AS86:AS103" si="45">AS77</f>
        <v>Panamá</v>
      </c>
      <c r="AT86" s="65" t="s">
        <v>104</v>
      </c>
      <c r="AU86" s="63" t="s">
        <v>103</v>
      </c>
      <c r="BZ86" s="63">
        <v>5</v>
      </c>
      <c r="CA86" s="63" t="str">
        <f>BL8&amp;"conv"&amp;CB9</f>
        <v>EcuadorconvGuayaquil/Posorja (arriving to port from Santa Elena)</v>
      </c>
      <c r="CB86" s="63">
        <f>CB77*0+CB76</f>
        <v>1.45</v>
      </c>
      <c r="CC86" s="63">
        <f>CC77*0+CC76</f>
        <v>7.25</v>
      </c>
      <c r="CD86" s="84">
        <f>(BZ9+CC86)*1</f>
        <v>11.129999999999999</v>
      </c>
      <c r="CO86" s="62" t="s">
        <v>165</v>
      </c>
    </row>
    <row r="87" spans="43:97" x14ac:dyDescent="0.3">
      <c r="AQ87" s="63">
        <v>2</v>
      </c>
      <c r="AR87" s="63" t="str">
        <f t="shared" si="44"/>
        <v>PortuguêsPérou</v>
      </c>
      <c r="AS87" s="63" t="str">
        <f t="shared" si="45"/>
        <v>Peru</v>
      </c>
      <c r="AT87" s="63"/>
      <c r="AU87" s="63"/>
      <c r="BZ87" s="63">
        <v>6</v>
      </c>
      <c r="CA87" s="63" t="str">
        <f>BL10&amp;"conv"&amp;CB10</f>
        <v>Ghanaconv</v>
      </c>
      <c r="CB87" s="63">
        <f t="shared" si="43"/>
        <v>1.4</v>
      </c>
      <c r="CC87" s="63">
        <f t="shared" si="43"/>
        <v>8.1</v>
      </c>
      <c r="CD87" s="84">
        <f>(BZ10+CC87)*0</f>
        <v>0</v>
      </c>
      <c r="CO87" s="63"/>
    </row>
    <row r="88" spans="43:97" x14ac:dyDescent="0.3">
      <c r="AQ88" s="63">
        <v>3</v>
      </c>
      <c r="AR88" s="63" t="str">
        <f t="shared" si="44"/>
        <v>PortuguêsColombie</v>
      </c>
      <c r="AS88" s="63" t="str">
        <f t="shared" si="45"/>
        <v>Colômbia</v>
      </c>
      <c r="AT88" s="63"/>
      <c r="AU88" s="63"/>
      <c r="BZ88" s="63">
        <v>7</v>
      </c>
      <c r="CA88" s="63" t="str">
        <f>BL11&amp;"conv"&amp;CB11</f>
        <v>Dominican RepublicconvCaucedo</v>
      </c>
      <c r="CB88" s="63">
        <f t="shared" si="43"/>
        <v>2.09</v>
      </c>
      <c r="CC88" s="63">
        <f t="shared" si="43"/>
        <v>8.15</v>
      </c>
      <c r="CD88" s="84">
        <f>BZ11+CC88</f>
        <v>12.55</v>
      </c>
      <c r="CO88" s="63"/>
    </row>
    <row r="89" spans="43:97" x14ac:dyDescent="0.3">
      <c r="AQ89" s="63">
        <v>4</v>
      </c>
      <c r="AR89" s="63" t="str">
        <f t="shared" si="44"/>
        <v>PortuguêsÉquateur</v>
      </c>
      <c r="AS89" s="63" t="str">
        <f t="shared" si="45"/>
        <v>Equador</v>
      </c>
      <c r="AT89" s="63"/>
      <c r="AU89" s="63"/>
      <c r="BZ89" s="63">
        <v>8</v>
      </c>
      <c r="CA89" s="63" t="str">
        <f>BL12&amp;"conv"&amp;CB12</f>
        <v>NicaraguaconvMoin (CR)/Cortez (HN)</v>
      </c>
      <c r="CB89" s="63">
        <f t="shared" si="43"/>
        <v>1.65</v>
      </c>
      <c r="CC89" s="63">
        <f t="shared" si="43"/>
        <v>7.25</v>
      </c>
      <c r="CD89" s="84">
        <f>BZ12+CC89</f>
        <v>12.219999999999999</v>
      </c>
    </row>
    <row r="90" spans="43:97" x14ac:dyDescent="0.3">
      <c r="AQ90" s="63">
        <v>5</v>
      </c>
      <c r="AR90" s="63" t="str">
        <f t="shared" si="44"/>
        <v>PortuguêsSainte-Lucie</v>
      </c>
      <c r="AS90" s="63" t="str">
        <f t="shared" si="45"/>
        <v>Santa Lúcia</v>
      </c>
      <c r="AT90" s="63"/>
      <c r="AU90" s="63"/>
      <c r="BZ90" s="63">
        <v>9</v>
      </c>
      <c r="CA90" s="63" t="str">
        <f>BL13&amp;"conv"&amp;CB13</f>
        <v>Cameroonconv</v>
      </c>
      <c r="CB90" s="63">
        <f t="shared" si="43"/>
        <v>1.45</v>
      </c>
      <c r="CC90" s="63">
        <f t="shared" si="43"/>
        <v>7.75</v>
      </c>
      <c r="CD90" s="84">
        <f>(BZ13+CC90)*1</f>
        <v>7.75</v>
      </c>
    </row>
    <row r="91" spans="43:97" x14ac:dyDescent="0.3">
      <c r="AQ91" s="63">
        <v>6</v>
      </c>
      <c r="AR91" s="63" t="str">
        <f t="shared" si="44"/>
        <v>PortuguêsGhana</v>
      </c>
      <c r="AS91" s="63" t="str">
        <f t="shared" si="45"/>
        <v>Gana</v>
      </c>
      <c r="AT91" s="63"/>
      <c r="AU91" s="63"/>
      <c r="BW91" s="63" t="s">
        <v>128</v>
      </c>
      <c r="BX91" s="63" t="s">
        <v>129</v>
      </c>
      <c r="BZ91" s="63">
        <v>1</v>
      </c>
      <c r="CA91" s="63" t="str">
        <f t="shared" ref="CA91:CA99" si="46">BL5&amp;"org"&amp;BN5</f>
        <v>PanamaorgMoin (CR)</v>
      </c>
      <c r="CB91" s="63">
        <f t="shared" si="43"/>
        <v>1.7</v>
      </c>
      <c r="CC91" s="62">
        <f t="shared" ref="CC91:CC99" si="47">BX5</f>
        <v>0</v>
      </c>
      <c r="CD91" s="62">
        <f t="shared" ref="CD91:CD99" si="48">BQ5</f>
        <v>0</v>
      </c>
    </row>
    <row r="92" spans="43:97" x14ac:dyDescent="0.3">
      <c r="AQ92" s="63">
        <v>7</v>
      </c>
      <c r="AR92" s="63" t="str">
        <f t="shared" si="44"/>
        <v>PortuguêsRépublique dominicaine</v>
      </c>
      <c r="AS92" s="63" t="str">
        <f t="shared" si="45"/>
        <v>República Dominicana</v>
      </c>
      <c r="AT92" s="63"/>
      <c r="AU92" s="63"/>
      <c r="BZ92" s="63">
        <v>2</v>
      </c>
      <c r="CA92" s="63" t="str">
        <f t="shared" si="46"/>
        <v>PeruorgPaita</v>
      </c>
      <c r="CB92" s="63">
        <f t="shared" si="43"/>
        <v>1.85</v>
      </c>
      <c r="CC92" s="62">
        <f t="shared" si="47"/>
        <v>9.8000000000000007</v>
      </c>
      <c r="CD92" s="62">
        <f t="shared" si="48"/>
        <v>13.95</v>
      </c>
    </row>
    <row r="93" spans="43:97" x14ac:dyDescent="0.3">
      <c r="AQ93" s="63">
        <v>8</v>
      </c>
      <c r="AR93" s="63" t="str">
        <f t="shared" si="44"/>
        <v>PortuguêsNicaragua</v>
      </c>
      <c r="AS93" s="63" t="str">
        <f t="shared" si="45"/>
        <v>Nicarágua</v>
      </c>
      <c r="AT93" s="63"/>
      <c r="AU93" s="63"/>
      <c r="BZ93" s="63">
        <v>3</v>
      </c>
      <c r="CA93" s="63" t="str">
        <f t="shared" si="46"/>
        <v>ColombiaorgSta.Marta</v>
      </c>
      <c r="CB93" s="63">
        <f t="shared" si="43"/>
        <v>1.65</v>
      </c>
      <c r="CC93" s="62">
        <f t="shared" si="47"/>
        <v>10.5</v>
      </c>
      <c r="CD93" s="62">
        <f t="shared" si="48"/>
        <v>13.9</v>
      </c>
    </row>
    <row r="94" spans="43:97" x14ac:dyDescent="0.3">
      <c r="AQ94" s="63">
        <v>9</v>
      </c>
      <c r="AR94" s="63" t="str">
        <f t="shared" si="44"/>
        <v>PortuguêsCameroun</v>
      </c>
      <c r="AS94" s="63" t="str">
        <f t="shared" si="45"/>
        <v>Camarões</v>
      </c>
      <c r="AT94" s="63"/>
      <c r="AU94" s="63"/>
      <c r="BZ94" s="63">
        <v>4</v>
      </c>
      <c r="CA94" s="63" t="str">
        <f t="shared" si="46"/>
        <v>EcuadororgBolivar</v>
      </c>
      <c r="CB94" s="63">
        <f t="shared" si="43"/>
        <v>1.45</v>
      </c>
      <c r="CC94" s="62">
        <f t="shared" si="47"/>
        <v>9.9499999999999993</v>
      </c>
      <c r="CD94" s="62">
        <f t="shared" si="48"/>
        <v>13.85</v>
      </c>
    </row>
    <row r="95" spans="43:97" x14ac:dyDescent="0.3">
      <c r="AQ95" s="63">
        <v>1</v>
      </c>
      <c r="AR95" s="65" t="str">
        <f>BA41&amp;AZ50</f>
        <v>PortuguêsPanamá</v>
      </c>
      <c r="AS95" s="63" t="str">
        <f t="shared" si="45"/>
        <v>Panamá</v>
      </c>
      <c r="AT95" s="65" t="s">
        <v>105</v>
      </c>
      <c r="AU95" s="63" t="s">
        <v>103</v>
      </c>
      <c r="BZ95" s="63">
        <v>5</v>
      </c>
      <c r="CA95" s="63" t="str">
        <f t="shared" si="46"/>
        <v>org</v>
      </c>
      <c r="CB95" s="63">
        <f>CB86*0+CB77</f>
        <v>0</v>
      </c>
      <c r="CC95" s="62">
        <f t="shared" si="47"/>
        <v>0</v>
      </c>
      <c r="CD95" s="62">
        <f t="shared" si="48"/>
        <v>0</v>
      </c>
    </row>
    <row r="96" spans="43:97" x14ac:dyDescent="0.3">
      <c r="AQ96" s="63">
        <v>2</v>
      </c>
      <c r="AR96" s="63" t="str">
        <f>BA42&amp;AZ51</f>
        <v>PortuguêsPerú</v>
      </c>
      <c r="AS96" s="63" t="str">
        <f t="shared" si="45"/>
        <v>Peru</v>
      </c>
      <c r="AT96" s="63"/>
      <c r="AU96" s="63"/>
      <c r="BZ96" s="63">
        <v>6</v>
      </c>
      <c r="CA96" s="63" t="str">
        <f t="shared" si="46"/>
        <v>GhanaorgTema</v>
      </c>
      <c r="CB96" s="63">
        <f t="shared" si="43"/>
        <v>1.4</v>
      </c>
      <c r="CC96" s="62">
        <f t="shared" si="47"/>
        <v>10.9</v>
      </c>
      <c r="CD96" s="62">
        <f t="shared" si="48"/>
        <v>13.7</v>
      </c>
    </row>
    <row r="97" spans="43:82" x14ac:dyDescent="0.3">
      <c r="AQ97" s="63">
        <v>3</v>
      </c>
      <c r="AR97" s="63" t="str">
        <f>BA43&amp;AZ52</f>
        <v>PortuguêsColombia</v>
      </c>
      <c r="AS97" s="63" t="str">
        <f t="shared" si="45"/>
        <v>Colômbia</v>
      </c>
      <c r="AT97" s="63"/>
      <c r="AU97" s="63"/>
      <c r="BZ97" s="63">
        <v>7</v>
      </c>
      <c r="CA97" s="63" t="str">
        <f t="shared" si="46"/>
        <v>Dominican RepublicorgManzanillo</v>
      </c>
      <c r="CB97" s="63">
        <f t="shared" si="43"/>
        <v>2.09</v>
      </c>
      <c r="CC97" s="62">
        <f t="shared" si="47"/>
        <v>10.6</v>
      </c>
      <c r="CD97" s="62">
        <f t="shared" si="48"/>
        <v>15.05</v>
      </c>
    </row>
    <row r="98" spans="43:82" x14ac:dyDescent="0.3">
      <c r="AQ98" s="63">
        <v>4</v>
      </c>
      <c r="AR98" s="63" t="str">
        <f>BA44&amp;AZ53</f>
        <v>PortuguêsEcuador</v>
      </c>
      <c r="AS98" s="63" t="str">
        <f t="shared" si="45"/>
        <v>Equador</v>
      </c>
      <c r="AT98" s="63"/>
      <c r="AU98" s="63"/>
      <c r="BZ98" s="63">
        <v>8</v>
      </c>
      <c r="CA98" s="63" t="str">
        <f t="shared" si="46"/>
        <v>NicaraguaorgCorinto</v>
      </c>
      <c r="CB98" s="63">
        <f t="shared" si="43"/>
        <v>1.65</v>
      </c>
      <c r="CC98" s="62">
        <f t="shared" si="47"/>
        <v>0</v>
      </c>
      <c r="CD98" s="62">
        <f t="shared" si="48"/>
        <v>0</v>
      </c>
    </row>
    <row r="99" spans="43:82" x14ac:dyDescent="0.3">
      <c r="AQ99" s="63">
        <v>5</v>
      </c>
      <c r="AR99" s="63" t="str">
        <f t="shared" ref="AR99:AR103" si="49">BA45&amp;AZ54</f>
        <v>PortuguêsSanta Lucía</v>
      </c>
      <c r="AS99" s="63" t="str">
        <f t="shared" si="45"/>
        <v>Santa Lúcia</v>
      </c>
      <c r="AT99" s="63"/>
      <c r="AU99" s="63"/>
      <c r="BZ99" s="63">
        <v>9</v>
      </c>
      <c r="CA99" s="63" t="str">
        <f t="shared" si="46"/>
        <v>CameroonorgDouala</v>
      </c>
      <c r="CB99" s="63">
        <f t="shared" si="43"/>
        <v>1.45</v>
      </c>
      <c r="CC99" s="62">
        <f t="shared" si="47"/>
        <v>0</v>
      </c>
      <c r="CD99" s="62">
        <f t="shared" si="48"/>
        <v>0</v>
      </c>
    </row>
    <row r="100" spans="43:82" x14ac:dyDescent="0.3">
      <c r="AQ100" s="63">
        <v>6</v>
      </c>
      <c r="AR100" s="63" t="str">
        <f t="shared" si="49"/>
        <v>PortuguêsGana</v>
      </c>
      <c r="AS100" s="63" t="str">
        <f t="shared" si="45"/>
        <v>Gana</v>
      </c>
      <c r="AT100" s="63"/>
      <c r="AU100" s="63"/>
      <c r="BW100" s="63" t="s">
        <v>128</v>
      </c>
      <c r="BX100" s="63" t="s">
        <v>130</v>
      </c>
      <c r="BZ100" s="63">
        <v>1</v>
      </c>
      <c r="CA100" s="63" t="str">
        <f>BL5&amp;"org"&amp;CB5</f>
        <v>Panamaorg</v>
      </c>
      <c r="CB100" s="63">
        <f t="shared" si="43"/>
        <v>1.7</v>
      </c>
      <c r="CC100" s="63">
        <f>CC91</f>
        <v>0</v>
      </c>
      <c r="CD100" s="63">
        <f>CA5+CC100</f>
        <v>0</v>
      </c>
    </row>
    <row r="101" spans="43:82" x14ac:dyDescent="0.3">
      <c r="AQ101" s="63">
        <v>7</v>
      </c>
      <c r="AR101" s="63" t="str">
        <f t="shared" si="49"/>
        <v>PortuguêsRepública Dominicana</v>
      </c>
      <c r="AS101" s="63" t="str">
        <f t="shared" si="45"/>
        <v>República Dominicana</v>
      </c>
      <c r="AT101" s="63"/>
      <c r="AU101" s="63"/>
      <c r="BZ101" s="63">
        <v>2</v>
      </c>
      <c r="CA101" s="63" t="str">
        <f>BL6&amp;"org"&amp;CB6</f>
        <v>Peruorg</v>
      </c>
      <c r="CB101" s="63">
        <f t="shared" si="43"/>
        <v>1.85</v>
      </c>
      <c r="CC101" s="63">
        <f t="shared" si="43"/>
        <v>9.8000000000000007</v>
      </c>
      <c r="CD101" s="63">
        <f>(CA6+CC101)*0</f>
        <v>0</v>
      </c>
    </row>
    <row r="102" spans="43:82" x14ac:dyDescent="0.3">
      <c r="AQ102" s="63">
        <v>8</v>
      </c>
      <c r="AR102" s="63" t="str">
        <f t="shared" si="49"/>
        <v>PortuguêsNicaragua</v>
      </c>
      <c r="AS102" s="63" t="str">
        <f t="shared" si="45"/>
        <v>Nicarágua</v>
      </c>
      <c r="AT102" s="63"/>
      <c r="AU102" s="63"/>
      <c r="BZ102" s="63">
        <v>3</v>
      </c>
      <c r="CA102" s="63" t="str">
        <f>BL7&amp;"org"&amp;CB7</f>
        <v>Colombiaorg</v>
      </c>
      <c r="CB102" s="63">
        <f t="shared" si="43"/>
        <v>1.65</v>
      </c>
      <c r="CC102" s="63">
        <f t="shared" si="43"/>
        <v>10.5</v>
      </c>
      <c r="CD102" s="63">
        <f>(CA7+CC102)*0</f>
        <v>0</v>
      </c>
    </row>
    <row r="103" spans="43:82" x14ac:dyDescent="0.3">
      <c r="AQ103" s="63">
        <v>9</v>
      </c>
      <c r="AR103" s="63" t="str">
        <f t="shared" si="49"/>
        <v>PortuguêsCamerún</v>
      </c>
      <c r="AS103" s="63" t="str">
        <f t="shared" si="45"/>
        <v>Camarões</v>
      </c>
      <c r="AT103" s="63"/>
      <c r="AU103" s="63"/>
      <c r="BZ103" s="63">
        <v>4</v>
      </c>
      <c r="CA103" s="63" t="str">
        <f>BL8&amp;"org"&amp;CB8</f>
        <v>EcuadororgGuayaquil (arriving to port from Machala)</v>
      </c>
      <c r="CB103" s="63">
        <f t="shared" si="43"/>
        <v>1.45</v>
      </c>
      <c r="CC103" s="63">
        <f t="shared" si="43"/>
        <v>9.9499999999999993</v>
      </c>
      <c r="CD103" s="84">
        <f>CA8+CC103</f>
        <v>14.169999999999998</v>
      </c>
    </row>
    <row r="104" spans="43:82" x14ac:dyDescent="0.3">
      <c r="AQ104" s="63">
        <v>1</v>
      </c>
      <c r="AR104" s="65" t="str">
        <f t="shared" ref="AR104:AR112" si="50">BA50&amp;AZ23</f>
        <v>EspañolPanama</v>
      </c>
      <c r="AS104" s="63" t="str">
        <f t="shared" ref="AS104:AS112" si="51">AZ50</f>
        <v>Panamá</v>
      </c>
      <c r="AT104" s="65" t="s">
        <v>107</v>
      </c>
      <c r="AU104" s="63" t="s">
        <v>106</v>
      </c>
      <c r="BZ104" s="63">
        <v>5</v>
      </c>
      <c r="CA104" s="63" t="str">
        <f>BL8&amp;"org"&amp;CB9</f>
        <v>EcuadororgGuayaquil/Posorja (arriving to port from Santa Elena)</v>
      </c>
      <c r="CB104" s="63">
        <f>CB95*0+CB94</f>
        <v>1.45</v>
      </c>
      <c r="CC104" s="63">
        <f>CC95*0+CC94</f>
        <v>9.9499999999999993</v>
      </c>
      <c r="CD104" s="84">
        <f>CA9+CC104</f>
        <v>13.93</v>
      </c>
    </row>
    <row r="105" spans="43:82" x14ac:dyDescent="0.3">
      <c r="AQ105" s="63">
        <v>2</v>
      </c>
      <c r="AR105" s="63" t="str">
        <f t="shared" si="50"/>
        <v>EspañolPeru</v>
      </c>
      <c r="AS105" s="63" t="str">
        <f t="shared" si="51"/>
        <v>Perú</v>
      </c>
      <c r="AT105" s="63"/>
      <c r="AU105" s="63"/>
      <c r="BZ105" s="63">
        <v>6</v>
      </c>
      <c r="CA105" s="63" t="str">
        <f>BL10&amp;"org"&amp;CB10</f>
        <v>Ghanaorg</v>
      </c>
      <c r="CB105" s="63">
        <f t="shared" si="43"/>
        <v>1.4</v>
      </c>
      <c r="CC105" s="63">
        <f t="shared" si="43"/>
        <v>10.9</v>
      </c>
      <c r="CD105" s="63">
        <f>(CA10+CC105)*0</f>
        <v>0</v>
      </c>
    </row>
    <row r="106" spans="43:82" x14ac:dyDescent="0.3">
      <c r="AQ106" s="63">
        <v>3</v>
      </c>
      <c r="AR106" s="63" t="str">
        <f t="shared" si="50"/>
        <v>EspañolColombia</v>
      </c>
      <c r="AS106" s="63" t="str">
        <f t="shared" si="51"/>
        <v>Colombia</v>
      </c>
      <c r="AT106" s="63"/>
      <c r="AU106" s="63"/>
      <c r="BZ106" s="63">
        <v>7</v>
      </c>
      <c r="CA106" s="63" t="str">
        <f>BL11&amp;"org"&amp;CB11</f>
        <v>Dominican RepublicorgCaucedo</v>
      </c>
      <c r="CB106" s="63">
        <f t="shared" si="43"/>
        <v>2.09</v>
      </c>
      <c r="CC106" s="63">
        <f t="shared" si="43"/>
        <v>10.6</v>
      </c>
      <c r="CD106" s="63">
        <f>CA11+CC106</f>
        <v>15</v>
      </c>
    </row>
    <row r="107" spans="43:82" x14ac:dyDescent="0.3">
      <c r="AQ107" s="63">
        <v>4</v>
      </c>
      <c r="AR107" s="63" t="str">
        <f t="shared" si="50"/>
        <v>EspañolEcuador</v>
      </c>
      <c r="AS107" s="63" t="str">
        <f t="shared" si="51"/>
        <v>Ecuador</v>
      </c>
      <c r="AT107" s="63"/>
      <c r="AU107" s="63"/>
      <c r="BZ107" s="63">
        <v>8</v>
      </c>
      <c r="CA107" s="63" t="str">
        <f>BL12&amp;"org"&amp;CB12</f>
        <v>NicaraguaorgMoin (CR)/Cortez (HN)</v>
      </c>
      <c r="CB107" s="63">
        <f>CB98</f>
        <v>1.65</v>
      </c>
      <c r="CC107" s="63">
        <f>CC98</f>
        <v>0</v>
      </c>
      <c r="CD107" s="63">
        <f>CA12+CC107</f>
        <v>0</v>
      </c>
    </row>
    <row r="108" spans="43:82" x14ac:dyDescent="0.3">
      <c r="AQ108" s="63">
        <v>5</v>
      </c>
      <c r="AR108" s="63" t="str">
        <f t="shared" si="50"/>
        <v>EspañolSaint Lucia</v>
      </c>
      <c r="AS108" s="63" t="str">
        <f t="shared" si="51"/>
        <v>Santa Lucía</v>
      </c>
      <c r="AT108" s="63"/>
      <c r="AU108" s="63"/>
      <c r="BZ108" s="63">
        <v>9</v>
      </c>
      <c r="CA108" s="63" t="str">
        <f>BL13&amp;"org"&amp;CB13</f>
        <v>Cameroonorg</v>
      </c>
      <c r="CB108" s="63">
        <f t="shared" si="43"/>
        <v>1.45</v>
      </c>
      <c r="CC108" s="63">
        <f t="shared" ref="CC108" si="52">CC99</f>
        <v>0</v>
      </c>
      <c r="CD108" s="63">
        <f>CA13+CC108</f>
        <v>0</v>
      </c>
    </row>
    <row r="109" spans="43:82" x14ac:dyDescent="0.3">
      <c r="AQ109" s="63">
        <v>6</v>
      </c>
      <c r="AR109" s="63" t="str">
        <f t="shared" si="50"/>
        <v>EspañolGhana</v>
      </c>
      <c r="AS109" s="63" t="str">
        <f t="shared" si="51"/>
        <v>Gana</v>
      </c>
      <c r="AT109" s="63"/>
      <c r="AU109" s="63"/>
    </row>
    <row r="110" spans="43:82" x14ac:dyDescent="0.3">
      <c r="AQ110" s="63">
        <v>7</v>
      </c>
      <c r="AR110" s="63" t="str">
        <f t="shared" si="50"/>
        <v>EspañolDominican Republic</v>
      </c>
      <c r="AS110" s="63" t="str">
        <f t="shared" si="51"/>
        <v>República Dominicana</v>
      </c>
      <c r="AT110" s="63"/>
      <c r="AU110" s="63"/>
    </row>
    <row r="111" spans="43:82" x14ac:dyDescent="0.3">
      <c r="AQ111" s="63">
        <v>8</v>
      </c>
      <c r="AR111" s="63" t="str">
        <f t="shared" si="50"/>
        <v>EspañolNicaragua</v>
      </c>
      <c r="AS111" s="63" t="str">
        <f t="shared" si="51"/>
        <v>Nicaragua</v>
      </c>
      <c r="AT111" s="63"/>
      <c r="AU111" s="63"/>
    </row>
    <row r="112" spans="43:82" x14ac:dyDescent="0.3">
      <c r="AQ112" s="63">
        <v>9</v>
      </c>
      <c r="AR112" s="63" t="str">
        <f t="shared" si="50"/>
        <v>EspañolCameroon</v>
      </c>
      <c r="AS112" s="63" t="str">
        <f t="shared" si="51"/>
        <v>Camerún</v>
      </c>
      <c r="AT112" s="63"/>
      <c r="AU112" s="63"/>
    </row>
    <row r="113" spans="43:82" x14ac:dyDescent="0.3">
      <c r="AQ113" s="63">
        <v>1</v>
      </c>
      <c r="AR113" s="65" t="str">
        <f t="shared" ref="AR113:AR121" si="53">BA50&amp;AZ32</f>
        <v>EspañolPanama</v>
      </c>
      <c r="AS113" s="63" t="str">
        <f t="shared" ref="AS113:AS130" si="54">AS104</f>
        <v>Panamá</v>
      </c>
      <c r="AT113" s="65" t="s">
        <v>108</v>
      </c>
      <c r="AU113" s="63" t="s">
        <v>106</v>
      </c>
    </row>
    <row r="114" spans="43:82" x14ac:dyDescent="0.3">
      <c r="AQ114" s="63">
        <v>2</v>
      </c>
      <c r="AR114" s="63" t="str">
        <f t="shared" si="53"/>
        <v>EspañolPérou</v>
      </c>
      <c r="AS114" s="63" t="str">
        <f t="shared" si="54"/>
        <v>Perú</v>
      </c>
      <c r="AT114" s="63"/>
      <c r="AU114" s="63"/>
      <c r="CA114" s="63" t="str">
        <f>C8&amp;BJ21&amp;C10</f>
        <v>org</v>
      </c>
      <c r="CB114" s="63">
        <f>IF(ISERROR(VLOOKUP(CA114,$CA$73:$CD$108,2,FALSE)),"",VLOOKUP(CA114,$CA$73:$CD$108,2,FALSE))</f>
        <v>0</v>
      </c>
      <c r="CC114" s="63" t="str">
        <f>IF(VLOOKUP(CA114,$CA$73:$CD$108,3,FALSE)=0,"",
IF(ISERROR(VLOOKUP(CA114,$CA$73:$CD$108,3,FALSE)),"",
VLOOKUP(CA114,$CA$73:$CD$108,3,FALSE)))</f>
        <v/>
      </c>
      <c r="CD114" s="63" t="str">
        <f>IF(VLOOKUP(CA114,$CA$73:$CD$108,4,FALSE)=0,"",
IF(ISERROR(VLOOKUP(CA114,$CA$73:$CD$108,4,FALSE)),"",
VLOOKUP(CA114,$CA$73:$CD$108,4,FALSE)))</f>
        <v/>
      </c>
    </row>
    <row r="115" spans="43:82" x14ac:dyDescent="0.3">
      <c r="AQ115" s="63">
        <v>3</v>
      </c>
      <c r="AR115" s="63" t="str">
        <f t="shared" si="53"/>
        <v>EspañolColombie</v>
      </c>
      <c r="AS115" s="63" t="str">
        <f t="shared" si="54"/>
        <v>Colombia</v>
      </c>
      <c r="AT115" s="63"/>
      <c r="AU115" s="63"/>
    </row>
    <row r="116" spans="43:82" x14ac:dyDescent="0.3">
      <c r="AQ116" s="63">
        <v>4</v>
      </c>
      <c r="AR116" s="63" t="str">
        <f t="shared" si="53"/>
        <v>EspañolÉquateur</v>
      </c>
      <c r="AS116" s="63" t="str">
        <f t="shared" si="54"/>
        <v>Ecuador</v>
      </c>
      <c r="AT116" s="63"/>
      <c r="AU116" s="63"/>
    </row>
    <row r="117" spans="43:82" x14ac:dyDescent="0.3">
      <c r="AQ117" s="63">
        <v>5</v>
      </c>
      <c r="AR117" s="63" t="str">
        <f t="shared" si="53"/>
        <v>EspañolSainte-Lucie</v>
      </c>
      <c r="AS117" s="63" t="str">
        <f t="shared" si="54"/>
        <v>Santa Lucía</v>
      </c>
      <c r="AT117" s="63"/>
      <c r="AU117" s="63"/>
    </row>
    <row r="118" spans="43:82" x14ac:dyDescent="0.3">
      <c r="AQ118" s="63">
        <v>6</v>
      </c>
      <c r="AR118" s="63" t="str">
        <f t="shared" si="53"/>
        <v>EspañolGhana</v>
      </c>
      <c r="AS118" s="63" t="str">
        <f t="shared" si="54"/>
        <v>Gana</v>
      </c>
      <c r="AT118" s="63"/>
      <c r="AU118" s="63"/>
    </row>
    <row r="119" spans="43:82" x14ac:dyDescent="0.3">
      <c r="AQ119" s="63">
        <v>7</v>
      </c>
      <c r="AR119" s="63" t="str">
        <f t="shared" si="53"/>
        <v>EspañolRépublique dominicaine</v>
      </c>
      <c r="AS119" s="63" t="str">
        <f t="shared" si="54"/>
        <v>República Dominicana</v>
      </c>
      <c r="AT119" s="63"/>
      <c r="AU119" s="63"/>
    </row>
    <row r="120" spans="43:82" x14ac:dyDescent="0.3">
      <c r="AQ120" s="63">
        <v>8</v>
      </c>
      <c r="AR120" s="63" t="str">
        <f t="shared" si="53"/>
        <v>EspañolNicaragua</v>
      </c>
      <c r="AS120" s="63" t="str">
        <f t="shared" si="54"/>
        <v>Nicaragua</v>
      </c>
      <c r="AT120" s="63"/>
      <c r="AU120" s="63"/>
    </row>
    <row r="121" spans="43:82" x14ac:dyDescent="0.3">
      <c r="AQ121" s="63">
        <v>9</v>
      </c>
      <c r="AR121" s="63" t="str">
        <f t="shared" si="53"/>
        <v>EspañolCameroun</v>
      </c>
      <c r="AS121" s="63" t="str">
        <f t="shared" si="54"/>
        <v>Camerún</v>
      </c>
      <c r="AT121" s="63"/>
      <c r="AU121" s="63"/>
    </row>
    <row r="122" spans="43:82" x14ac:dyDescent="0.3">
      <c r="AQ122" s="63">
        <v>1</v>
      </c>
      <c r="AR122" s="65" t="str">
        <f>BA50&amp;AZ41</f>
        <v>EspañolPanamá</v>
      </c>
      <c r="AS122" s="63" t="str">
        <f t="shared" si="54"/>
        <v>Panamá</v>
      </c>
      <c r="AT122" s="65" t="s">
        <v>109</v>
      </c>
      <c r="AU122" s="63" t="s">
        <v>106</v>
      </c>
    </row>
    <row r="123" spans="43:82" x14ac:dyDescent="0.3">
      <c r="AQ123" s="63">
        <v>2</v>
      </c>
      <c r="AR123" s="63" t="str">
        <f>BA51&amp;AZ42</f>
        <v>EspañolPeru</v>
      </c>
      <c r="AS123" s="63" t="str">
        <f t="shared" si="54"/>
        <v>Perú</v>
      </c>
      <c r="AT123" s="63"/>
      <c r="AU123" s="63"/>
    </row>
    <row r="124" spans="43:82" x14ac:dyDescent="0.3">
      <c r="AQ124" s="63">
        <v>3</v>
      </c>
      <c r="AR124" s="63" t="str">
        <f>BA52&amp;AZ43</f>
        <v>EspañolColômbia</v>
      </c>
      <c r="AS124" s="63" t="str">
        <f t="shared" si="54"/>
        <v>Colombia</v>
      </c>
    </row>
    <row r="125" spans="43:82" x14ac:dyDescent="0.3">
      <c r="AQ125" s="63">
        <v>4</v>
      </c>
      <c r="AR125" s="63" t="str">
        <f>BA53&amp;AZ44</f>
        <v>EspañolEquador</v>
      </c>
      <c r="AS125" s="63" t="str">
        <f t="shared" si="54"/>
        <v>Ecuador</v>
      </c>
    </row>
    <row r="126" spans="43:82" x14ac:dyDescent="0.3">
      <c r="AQ126" s="63">
        <v>5</v>
      </c>
      <c r="AR126" s="63" t="str">
        <f t="shared" ref="AR126:AR130" si="55">BA54&amp;AZ45</f>
        <v>EspañolSanta Lúcia</v>
      </c>
      <c r="AS126" s="63" t="str">
        <f t="shared" si="54"/>
        <v>Santa Lucía</v>
      </c>
    </row>
    <row r="127" spans="43:82" x14ac:dyDescent="0.3">
      <c r="AQ127" s="63">
        <v>6</v>
      </c>
      <c r="AR127" s="63" t="str">
        <f t="shared" si="55"/>
        <v>EspañolGana</v>
      </c>
      <c r="AS127" s="63" t="str">
        <f t="shared" si="54"/>
        <v>Gana</v>
      </c>
    </row>
    <row r="128" spans="43:82" x14ac:dyDescent="0.3">
      <c r="AQ128" s="63">
        <v>7</v>
      </c>
      <c r="AR128" s="63" t="str">
        <f t="shared" si="55"/>
        <v>EspañolRepública Dominicana</v>
      </c>
      <c r="AS128" s="63" t="str">
        <f t="shared" si="54"/>
        <v>República Dominicana</v>
      </c>
    </row>
    <row r="129" spans="43:45" x14ac:dyDescent="0.3">
      <c r="AQ129" s="63">
        <v>8</v>
      </c>
      <c r="AR129" s="63" t="str">
        <f t="shared" si="55"/>
        <v>EspañolNicarágua</v>
      </c>
      <c r="AS129" s="63" t="str">
        <f t="shared" si="54"/>
        <v>Nicaragua</v>
      </c>
    </row>
    <row r="130" spans="43:45" x14ac:dyDescent="0.3">
      <c r="AQ130" s="63">
        <v>9</v>
      </c>
      <c r="AR130" s="63" t="str">
        <f t="shared" si="55"/>
        <v>EspañolCamarões</v>
      </c>
      <c r="AS130" s="63" t="str">
        <f t="shared" si="54"/>
        <v>Camerún</v>
      </c>
    </row>
  </sheetData>
  <sheetProtection algorithmName="SHA-512" hashValue="zGbFtSUWf5mw1cIk4KFfy+hFbwzsW2goqafTDulzKDpQJQmCMqdqFmjeFIcEomJArZ//RfpRhLnwG0QuK/4+4Q==" saltValue="WI5Q8Iwer2eweqW4c7Z36w==" spinCount="100000" sheet="1" objects="1" scenarios="1"/>
  <mergeCells count="12">
    <mergeCell ref="B29:B30"/>
    <mergeCell ref="B12:D12"/>
    <mergeCell ref="B25:B26"/>
    <mergeCell ref="B27:B28"/>
    <mergeCell ref="B6:D6"/>
    <mergeCell ref="B14:D14"/>
    <mergeCell ref="BN2:BQ2"/>
    <mergeCell ref="BZ2:CB2"/>
    <mergeCell ref="C10:D10"/>
    <mergeCell ref="C9:D9"/>
    <mergeCell ref="C8:D8"/>
    <mergeCell ref="B4:D4"/>
  </mergeCells>
  <conditionalFormatting sqref="B12:D12">
    <cfRule type="expression" dxfId="2" priority="2">
      <formula>$AO$12</formula>
    </cfRule>
  </conditionalFormatting>
  <conditionalFormatting sqref="C23">
    <cfRule type="expression" dxfId="1" priority="3">
      <formula>ISBLANK($C$22)</formula>
    </cfRule>
  </conditionalFormatting>
  <conditionalFormatting sqref="C10:D10">
    <cfRule type="expression" dxfId="0" priority="4">
      <formula>$AO$13</formula>
    </cfRule>
  </conditionalFormatting>
  <dataValidations count="4">
    <dataValidation type="list" allowBlank="1" showInputMessage="1" showErrorMessage="1" sqref="C9" xr:uid="{00000000-0002-0000-0000-000000000000}">
      <formula1>$BR$5:$BR$6</formula1>
    </dataValidation>
    <dataValidation type="list" allowBlank="1" showInputMessage="1" showErrorMessage="1" sqref="D2" xr:uid="{00000000-0002-0000-0000-000001000000}">
      <formula1>$CJ$4:$CJ$7</formula1>
    </dataValidation>
    <dataValidation type="list" allowBlank="1" showInputMessage="1" showErrorMessage="1" sqref="C8:D8" xr:uid="{00000000-0002-0000-0000-000002000000}">
      <formula1>$BI$5:$BI$12</formula1>
    </dataValidation>
    <dataValidation type="list" allowBlank="1" showInputMessage="1" showErrorMessage="1" sqref="C10:D10" xr:uid="{00000000-0002-0000-0000-000003000000}">
      <formula1>$CL$4:$CL$6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499B-586E-4081-A6DA-136042F5FCEE}">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prorata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Paredes</cp:lastModifiedBy>
  <cp:lastPrinted>2018-10-31T15:05:48Z</cp:lastPrinted>
  <dcterms:created xsi:type="dcterms:W3CDTF">2018-07-16T02:52:01Z</dcterms:created>
  <dcterms:modified xsi:type="dcterms:W3CDTF">2024-10-04T11:33:44Z</dcterms:modified>
</cp:coreProperties>
</file>