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Banana\Banana 2019_FOB-EXWdifferential\herramienta Prorrateo\"/>
    </mc:Choice>
  </mc:AlternateContent>
  <bookViews>
    <workbookView xWindow="10515" yWindow="300" windowWidth="16395" windowHeight="11580" tabRatio="846"/>
  </bookViews>
  <sheets>
    <sheet name="prorata JP" sheetId="28" r:id="rId1"/>
  </sheets>
  <calcPr calcId="162913"/>
</workbook>
</file>

<file path=xl/calcChain.xml><?xml version="1.0" encoding="utf-8"?>
<calcChain xmlns="http://schemas.openxmlformats.org/spreadsheetml/2006/main">
  <c r="B8" i="28" l="1"/>
  <c r="B26" i="28" l="1"/>
  <c r="B1" i="28"/>
  <c r="B10" i="28"/>
  <c r="BH1" i="28"/>
  <c r="BH11" i="28" l="1"/>
  <c r="BO11" i="28" l="1"/>
  <c r="B39" i="28" l="1"/>
  <c r="B37" i="28"/>
  <c r="D19" i="28"/>
  <c r="D21" i="28" s="1"/>
  <c r="D35" i="28"/>
  <c r="B3" i="28"/>
  <c r="BV1" i="28"/>
  <c r="BU1" i="28"/>
  <c r="BO1" i="28"/>
  <c r="BN1" i="28"/>
  <c r="BK1" i="28"/>
  <c r="CA4" i="28"/>
  <c r="BL11" i="28" l="1"/>
  <c r="BU11" i="28" l="1"/>
  <c r="B36" i="28"/>
  <c r="B30" i="28"/>
  <c r="B27" i="28"/>
  <c r="D37" i="28" l="1"/>
  <c r="BN11" i="28"/>
  <c r="BK11" i="28"/>
  <c r="BJ11" i="28"/>
  <c r="B21" i="28" l="1"/>
  <c r="B23" i="28"/>
  <c r="C35" i="28"/>
  <c r="B35" i="28"/>
  <c r="B19" i="28"/>
  <c r="C12" i="28"/>
  <c r="C28" i="28" s="1"/>
  <c r="B34" i="28"/>
  <c r="C13" i="28"/>
  <c r="D12" i="28" s="1"/>
  <c r="D13" i="28"/>
  <c r="B18" i="28"/>
  <c r="B12" i="28"/>
  <c r="B28" i="28" s="1"/>
  <c r="B13" i="28"/>
  <c r="B29" i="28" s="1"/>
  <c r="C15" i="28"/>
  <c r="C23" i="28" l="1"/>
  <c r="C24" i="28" s="1"/>
  <c r="C21" i="28"/>
  <c r="C22" i="28" s="1"/>
  <c r="B16" i="28"/>
  <c r="B32" i="28" s="1"/>
  <c r="C29" i="28"/>
  <c r="B15" i="28"/>
  <c r="B31" i="28" s="1"/>
  <c r="D29" i="28"/>
  <c r="D34" i="28" s="1"/>
  <c r="D18" i="28"/>
  <c r="D23" i="28"/>
  <c r="C16" i="28"/>
  <c r="C32" i="28" s="1"/>
  <c r="C31" i="28"/>
  <c r="C37" i="28" s="1"/>
  <c r="C38" i="28" s="1"/>
  <c r="C39" i="28" l="1"/>
  <c r="C40" i="28" s="1"/>
  <c r="D15" i="28"/>
  <c r="D28" i="28"/>
  <c r="D39" i="28"/>
  <c r="D31" i="28" l="1"/>
  <c r="D16" i="28"/>
  <c r="D32" i="28" s="1"/>
</calcChain>
</file>

<file path=xl/sharedStrings.xml><?xml version="1.0" encoding="utf-8"?>
<sst xmlns="http://schemas.openxmlformats.org/spreadsheetml/2006/main" count="50" uniqueCount="36">
  <si>
    <t>Costa Rica</t>
  </si>
  <si>
    <t>Colombia</t>
  </si>
  <si>
    <t>Ecuador</t>
  </si>
  <si>
    <t>FOB</t>
  </si>
  <si>
    <t>USD/caja</t>
  </si>
  <si>
    <t>Nicaragua</t>
  </si>
  <si>
    <t>Panama</t>
  </si>
  <si>
    <t>Peru</t>
  </si>
  <si>
    <t>Windward Islands</t>
  </si>
  <si>
    <t>Dominican Republic</t>
  </si>
  <si>
    <t>Type of banana</t>
  </si>
  <si>
    <t>conventional Fairtrade banana</t>
  </si>
  <si>
    <t>organic Fairtrade banana</t>
  </si>
  <si>
    <t>Fairtrade Minimum Price</t>
  </si>
  <si>
    <t>IFCO box</t>
  </si>
  <si>
    <t>Special carton box</t>
  </si>
  <si>
    <t>without including</t>
  </si>
  <si>
    <t>Ex Works</t>
  </si>
  <si>
    <t>Price level</t>
  </si>
  <si>
    <t>COUNTRY</t>
  </si>
  <si>
    <t>VAT or w/o VAT</t>
  </si>
  <si>
    <t>Choose banana producer country:</t>
  </si>
  <si>
    <t>Choose type of Fairtrade banana:</t>
  </si>
  <si>
    <t>Choose price level:</t>
  </si>
  <si>
    <t>FOB FMP conv valid for 2019</t>
  </si>
  <si>
    <t>FOB FMP org valid for 2019</t>
  </si>
  <si>
    <t>EXW FMP conv valid for 2019</t>
  </si>
  <si>
    <t>EXW FMP org valid for 2019</t>
  </si>
  <si>
    <t>CARTON PRICE VALID FOR 2020</t>
  </si>
  <si>
    <t xml:space="preserve"> </t>
  </si>
  <si>
    <t>unit of measurement of the price</t>
  </si>
  <si>
    <t>PLEASE COMPLETE EMPTY CELLS WITH THE INFORMATION OF THE PACKING BOX YOU WANT TO RUN THE PRO-RATA</t>
  </si>
  <si>
    <t>The tool provides 2 examples. The first one prorates Fairtrade Minimum Prices from the standard carton box of 18.14 kg to an special carton box (of a weight in kilos and price, indicated by the user in cells C18 and C19, respectively). The second example prorates Fairtrade Minimum Prices from the standard carton box of 18.14 kg to an IFCO box (of a weight in kilos, indicated by the user in cell C34).</t>
  </si>
  <si>
    <t>Standard carton box (Fairtrade)</t>
  </si>
  <si>
    <r>
      <rPr>
        <u/>
        <sz val="11"/>
        <color theme="1"/>
        <rFont val="Calibri"/>
        <family val="2"/>
        <scheme val="minor"/>
      </rPr>
      <t>Please NOTE THAT</t>
    </r>
    <r>
      <rPr>
        <sz val="11"/>
        <color theme="1"/>
        <rFont val="Calibri"/>
        <family val="2"/>
        <scheme val="minor"/>
      </rPr>
      <t xml:space="preserve"> the prorate examples ARE ONLY BASED on the variation of: a) the weight of fruit per box and b) the price of the type of packing box. ADDITIONAL COSTS, or PRICE VARIATIONS OF EXISTING INPUTS, might be also involved; for prorating them the Fairtrade Standards for Fresh Fruits must always apply.</t>
    </r>
  </si>
  <si>
    <t>Prorate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</si>
</sst>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1"/>
      <name val="Calibri"/>
      <family val="2"/>
      <scheme val="minor"/>
    </font>
    <font>
      <sz val="12"/>
      <color theme="1"/>
      <name val="Calibri"/>
      <family val="2"/>
      <scheme val="minor"/>
    </font>
    <font>
      <b/>
      <sz val="11"/>
      <name val="Calibri"/>
      <family val="2"/>
      <scheme val="minor"/>
    </font>
    <font>
      <b/>
      <sz val="14"/>
      <color rgb="FFFF0000"/>
      <name val="Calibri"/>
      <family val="2"/>
      <scheme val="minor"/>
    </font>
    <font>
      <b/>
      <sz val="14"/>
      <color rgb="FF0088EE"/>
      <name val="Calibri"/>
      <family val="2"/>
      <scheme val="minor"/>
    </font>
    <font>
      <b/>
      <sz val="12"/>
      <color rgb="FF0088EE"/>
      <name val="Calibri"/>
      <family val="2"/>
      <scheme val="minor"/>
    </font>
    <font>
      <b/>
      <sz val="20"/>
      <color rgb="FFFF0000"/>
      <name val="Calibri"/>
      <family val="2"/>
      <scheme val="minor"/>
    </font>
    <font>
      <sz val="12"/>
      <color theme="1"/>
      <name val="Calibri"/>
      <family val="2"/>
    </font>
    <font>
      <sz val="11"/>
      <color rgb="FF1F497D"/>
      <name val="Calibri"/>
      <family val="2"/>
    </font>
    <font>
      <b/>
      <sz val="20"/>
      <color theme="1"/>
      <name val="Calibri"/>
      <family val="2"/>
      <scheme val="minor"/>
    </font>
    <font>
      <b/>
      <sz val="12"/>
      <color theme="0"/>
      <name val="Calibri"/>
      <family val="2"/>
      <scheme val="minor"/>
    </font>
    <font>
      <b/>
      <sz val="14"/>
      <color theme="7"/>
      <name val="Calibri"/>
      <family val="2"/>
      <scheme val="minor"/>
    </font>
    <font>
      <b/>
      <sz val="20"/>
      <color theme="0"/>
      <name val="Calibri Light"/>
      <family val="2"/>
      <scheme val="major"/>
    </font>
    <font>
      <u/>
      <sz val="11"/>
      <color theme="1"/>
      <name val="Calibri"/>
      <family val="2"/>
      <scheme val="minor"/>
    </font>
    <font>
      <sz val="12"/>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FFFF00"/>
        <bgColor indexed="64"/>
      </patternFill>
    </fill>
  </fills>
  <borders count="3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thin">
        <color auto="1"/>
      </right>
      <top style="thin">
        <color auto="1"/>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diagonal/>
    </border>
    <border>
      <left style="medium">
        <color auto="1"/>
      </left>
      <right style="thin">
        <color auto="1"/>
      </right>
      <top/>
      <bottom style="thin">
        <color auto="1"/>
      </bottom>
      <diagonal/>
    </border>
    <border>
      <left style="medium">
        <color auto="1"/>
      </left>
      <right style="thin">
        <color auto="1"/>
      </right>
      <top/>
      <bottom style="medium">
        <color indexed="64"/>
      </bottom>
      <diagonal/>
    </border>
    <border>
      <left style="medium">
        <color auto="1"/>
      </left>
      <right style="thin">
        <color auto="1"/>
      </right>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right/>
      <top/>
      <bottom style="medium">
        <color auto="1"/>
      </bottom>
      <diagonal/>
    </border>
    <border>
      <left style="medium">
        <color indexed="64"/>
      </left>
      <right/>
      <top/>
      <bottom style="thin">
        <color indexed="64"/>
      </bottom>
      <diagonal/>
    </border>
    <border>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Up="1" diagonalDown="1">
      <left style="thin">
        <color auto="1"/>
      </left>
      <right style="thin">
        <color auto="1"/>
      </right>
      <top style="thin">
        <color auto="1"/>
      </top>
      <bottom style="thin">
        <color auto="1"/>
      </bottom>
      <diagonal style="thin">
        <color auto="1"/>
      </diagonal>
    </border>
  </borders>
  <cellStyleXfs count="2">
    <xf numFmtId="0" fontId="0" fillId="0" borderId="0"/>
    <xf numFmtId="0" fontId="3" fillId="0" borderId="0"/>
  </cellStyleXfs>
  <cellXfs count="85">
    <xf numFmtId="0" fontId="0" fillId="0" borderId="0" xfId="0"/>
    <xf numFmtId="0" fontId="0" fillId="2" borderId="0" xfId="0" applyFill="1" applyProtection="1">
      <protection hidden="1"/>
    </xf>
    <xf numFmtId="0" fontId="0" fillId="2" borderId="1" xfId="0" applyFill="1" applyBorder="1" applyProtection="1">
      <protection hidden="1"/>
    </xf>
    <xf numFmtId="2" fontId="0" fillId="2" borderId="0" xfId="0" applyNumberFormat="1" applyFill="1" applyBorder="1" applyProtection="1">
      <protection hidden="1"/>
    </xf>
    <xf numFmtId="0" fontId="0" fillId="2" borderId="0" xfId="0" applyFill="1" applyBorder="1" applyProtection="1">
      <protection hidden="1"/>
    </xf>
    <xf numFmtId="0" fontId="8" fillId="2" borderId="0" xfId="0" applyFont="1" applyFill="1" applyProtection="1">
      <protection hidden="1"/>
    </xf>
    <xf numFmtId="4" fontId="0" fillId="2" borderId="0" xfId="0" applyNumberFormat="1" applyFill="1" applyProtection="1">
      <protection hidden="1"/>
    </xf>
    <xf numFmtId="2" fontId="6" fillId="2" borderId="1" xfId="0" applyNumberFormat="1" applyFont="1" applyFill="1" applyBorder="1" applyAlignment="1" applyProtection="1">
      <alignment vertical="top"/>
      <protection locked="0" hidden="1"/>
    </xf>
    <xf numFmtId="0" fontId="9" fillId="2" borderId="0" xfId="0" applyFont="1" applyFill="1" applyAlignment="1" applyProtection="1">
      <alignment vertical="center"/>
      <protection hidden="1"/>
    </xf>
    <xf numFmtId="2" fontId="6" fillId="2" borderId="9" xfId="0" applyNumberFormat="1" applyFont="1" applyFill="1" applyBorder="1" applyAlignment="1" applyProtection="1">
      <alignment vertical="top"/>
      <protection locked="0" hidden="1"/>
    </xf>
    <xf numFmtId="2" fontId="0" fillId="2" borderId="0" xfId="0" applyNumberFormat="1" applyFill="1" applyProtection="1">
      <protection hidden="1"/>
    </xf>
    <xf numFmtId="0" fontId="8" fillId="2" borderId="0" xfId="0" applyFont="1" applyFill="1" applyBorder="1" applyProtection="1">
      <protection hidden="1"/>
    </xf>
    <xf numFmtId="0" fontId="10" fillId="0" borderId="0" xfId="0" applyFont="1" applyBorder="1" applyAlignment="1" applyProtection="1">
      <alignment vertical="center" wrapText="1"/>
      <protection hidden="1"/>
    </xf>
    <xf numFmtId="0" fontId="0" fillId="2" borderId="0" xfId="0" applyFill="1" applyAlignment="1" applyProtection="1">
      <alignment wrapText="1"/>
      <protection hidden="1"/>
    </xf>
    <xf numFmtId="0" fontId="1" fillId="3" borderId="11" xfId="0" applyFont="1" applyFill="1" applyBorder="1" applyAlignment="1" applyProtection="1">
      <alignment vertical="top" wrapText="1"/>
      <protection hidden="1"/>
    </xf>
    <xf numFmtId="0" fontId="4" fillId="3" borderId="10" xfId="0" applyFont="1" applyFill="1" applyBorder="1" applyAlignment="1" applyProtection="1">
      <alignment horizontal="center" vertical="top" wrapText="1"/>
      <protection hidden="1"/>
    </xf>
    <xf numFmtId="0" fontId="4" fillId="3" borderId="5" xfId="0" applyFont="1" applyFill="1" applyBorder="1" applyAlignment="1" applyProtection="1">
      <alignment horizontal="center" vertical="top"/>
      <protection hidden="1"/>
    </xf>
    <xf numFmtId="0" fontId="2" fillId="3" borderId="11" xfId="0" quotePrefix="1" applyFont="1" applyFill="1" applyBorder="1" applyAlignment="1" applyProtection="1">
      <alignment horizontal="left" vertical="top" wrapText="1" indent="2"/>
      <protection hidden="1"/>
    </xf>
    <xf numFmtId="2" fontId="2" fillId="3" borderId="10" xfId="0" applyNumberFormat="1" applyFont="1" applyFill="1" applyBorder="1" applyAlignment="1" applyProtection="1">
      <alignment vertical="top"/>
      <protection hidden="1"/>
    </xf>
    <xf numFmtId="0" fontId="2" fillId="3" borderId="5" xfId="0" applyFont="1" applyFill="1" applyBorder="1" applyAlignment="1" applyProtection="1">
      <alignment vertical="top"/>
      <protection hidden="1"/>
    </xf>
    <xf numFmtId="0" fontId="2" fillId="3" borderId="20" xfId="0" quotePrefix="1" applyFont="1" applyFill="1" applyBorder="1" applyAlignment="1" applyProtection="1">
      <alignment horizontal="left" vertical="top" wrapText="1" indent="2"/>
      <protection hidden="1"/>
    </xf>
    <xf numFmtId="2" fontId="2" fillId="3" borderId="16" xfId="0" applyNumberFormat="1" applyFont="1" applyFill="1" applyBorder="1" applyAlignment="1" applyProtection="1">
      <alignment vertical="top"/>
      <protection hidden="1"/>
    </xf>
    <xf numFmtId="0" fontId="2" fillId="3" borderId="15" xfId="0" applyFont="1" applyFill="1" applyBorder="1" applyAlignment="1" applyProtection="1">
      <alignment vertical="top"/>
      <protection hidden="1"/>
    </xf>
    <xf numFmtId="0" fontId="4" fillId="3" borderId="11" xfId="0" quotePrefix="1" applyFont="1" applyFill="1" applyBorder="1" applyAlignment="1" applyProtection="1">
      <alignment vertical="top" wrapText="1"/>
      <protection hidden="1"/>
    </xf>
    <xf numFmtId="2" fontId="2" fillId="3" borderId="10" xfId="0" applyNumberFormat="1" applyFont="1" applyFill="1" applyBorder="1" applyAlignment="1" applyProtection="1">
      <alignment horizontal="right" vertical="top" wrapText="1"/>
      <protection hidden="1"/>
    </xf>
    <xf numFmtId="2" fontId="2" fillId="3" borderId="16" xfId="0" quotePrefix="1" applyNumberFormat="1" applyFont="1" applyFill="1" applyBorder="1" applyAlignment="1" applyProtection="1">
      <alignment horizontal="right" vertical="top" wrapText="1"/>
      <protection hidden="1"/>
    </xf>
    <xf numFmtId="0" fontId="4" fillId="3" borderId="11" xfId="0" quotePrefix="1" applyFont="1" applyFill="1" applyBorder="1" applyAlignment="1" applyProtection="1">
      <alignment horizontal="left" vertical="top" wrapText="1"/>
      <protection hidden="1"/>
    </xf>
    <xf numFmtId="0" fontId="2" fillId="3" borderId="14" xfId="0" quotePrefix="1" applyFont="1" applyFill="1" applyBorder="1" applyAlignment="1" applyProtection="1">
      <alignment horizontal="left" vertical="top" wrapText="1" indent="2"/>
      <protection hidden="1"/>
    </xf>
    <xf numFmtId="0" fontId="2" fillId="3" borderId="12" xfId="0" quotePrefix="1" applyFont="1" applyFill="1" applyBorder="1" applyAlignment="1" applyProtection="1">
      <alignment horizontal="left" vertical="top" wrapText="1" indent="2"/>
      <protection hidden="1"/>
    </xf>
    <xf numFmtId="0" fontId="4" fillId="3" borderId="14" xfId="0" quotePrefix="1" applyFont="1" applyFill="1" applyBorder="1" applyAlignment="1" applyProtection="1">
      <alignment horizontal="left" vertical="top" wrapText="1"/>
      <protection hidden="1"/>
    </xf>
    <xf numFmtId="0" fontId="4" fillId="3" borderId="5" xfId="0" applyFont="1" applyFill="1" applyBorder="1" applyAlignment="1" applyProtection="1">
      <protection hidden="1"/>
    </xf>
    <xf numFmtId="0" fontId="2" fillId="3" borderId="7" xfId="0" applyFont="1" applyFill="1" applyBorder="1" applyAlignment="1" applyProtection="1">
      <alignment vertical="top"/>
      <protection hidden="1"/>
    </xf>
    <xf numFmtId="2" fontId="6" fillId="3" borderId="10" xfId="0" applyNumberFormat="1" applyFont="1" applyFill="1" applyBorder="1" applyAlignment="1" applyProtection="1">
      <alignment vertical="top"/>
      <protection hidden="1"/>
    </xf>
    <xf numFmtId="2" fontId="4" fillId="3" borderId="10" xfId="0" applyNumberFormat="1" applyFont="1" applyFill="1" applyBorder="1" applyAlignment="1" applyProtection="1">
      <protection hidden="1"/>
    </xf>
    <xf numFmtId="0" fontId="0" fillId="3" borderId="10" xfId="0" quotePrefix="1" applyFill="1" applyBorder="1" applyAlignment="1" applyProtection="1">
      <alignment vertical="top"/>
      <protection hidden="1"/>
    </xf>
    <xf numFmtId="0" fontId="0" fillId="3" borderId="17" xfId="0" quotePrefix="1" applyFill="1" applyBorder="1" applyAlignment="1" applyProtection="1">
      <alignment vertical="top"/>
      <protection hidden="1"/>
    </xf>
    <xf numFmtId="0" fontId="4" fillId="3" borderId="6" xfId="0" quotePrefix="1" applyFont="1" applyFill="1" applyBorder="1" applyAlignment="1" applyProtection="1">
      <alignment horizontal="left" vertical="top" wrapText="1"/>
      <protection hidden="1"/>
    </xf>
    <xf numFmtId="2" fontId="6" fillId="3" borderId="8" xfId="0" applyNumberFormat="1" applyFont="1" applyFill="1" applyBorder="1" applyAlignment="1" applyProtection="1">
      <alignment vertical="top"/>
      <protection hidden="1"/>
    </xf>
    <xf numFmtId="0" fontId="2" fillId="3" borderId="21" xfId="0" applyFont="1" applyFill="1" applyBorder="1" applyAlignment="1" applyProtection="1">
      <alignment vertical="top"/>
      <protection hidden="1"/>
    </xf>
    <xf numFmtId="2" fontId="2" fillId="3" borderId="16" xfId="0" applyNumberFormat="1" applyFont="1" applyFill="1" applyBorder="1" applyAlignment="1" applyProtection="1">
      <alignment horizontal="right" vertical="top" wrapText="1"/>
      <protection hidden="1"/>
    </xf>
    <xf numFmtId="0" fontId="2" fillId="3" borderId="18" xfId="0" applyFont="1" applyFill="1" applyBorder="1" applyAlignment="1" applyProtection="1">
      <alignment vertical="top" wrapText="1"/>
      <protection hidden="1"/>
    </xf>
    <xf numFmtId="0" fontId="4" fillId="3" borderId="5" xfId="0" applyFont="1" applyFill="1" applyBorder="1" applyAlignment="1" applyProtection="1">
      <alignment vertical="top"/>
      <protection hidden="1"/>
    </xf>
    <xf numFmtId="2" fontId="4" fillId="3" borderId="10" xfId="0" applyNumberFormat="1" applyFont="1" applyFill="1" applyBorder="1" applyAlignment="1" applyProtection="1">
      <alignment vertical="top"/>
      <protection hidden="1"/>
    </xf>
    <xf numFmtId="0" fontId="5" fillId="4" borderId="19" xfId="0" applyFont="1" applyFill="1" applyBorder="1" applyAlignment="1" applyProtection="1">
      <alignment horizontal="center" vertical="top" wrapText="1"/>
      <protection hidden="1"/>
    </xf>
    <xf numFmtId="0" fontId="11" fillId="4" borderId="0" xfId="0" applyFont="1" applyFill="1" applyBorder="1" applyAlignment="1" applyProtection="1">
      <alignment horizontal="center" vertical="center" wrapText="1"/>
      <protection hidden="1"/>
    </xf>
    <xf numFmtId="0" fontId="12" fillId="4" borderId="0" xfId="0" applyFont="1" applyFill="1" applyBorder="1" applyAlignment="1" applyProtection="1">
      <alignment horizontal="right"/>
      <protection hidden="1"/>
    </xf>
    <xf numFmtId="0" fontId="0" fillId="4" borderId="22" xfId="0" applyFill="1" applyBorder="1" applyProtection="1">
      <protection hidden="1"/>
    </xf>
    <xf numFmtId="0" fontId="0" fillId="4" borderId="24" xfId="0" applyFill="1" applyBorder="1" applyProtection="1">
      <protection hidden="1"/>
    </xf>
    <xf numFmtId="0" fontId="0" fillId="4" borderId="11" xfId="0" applyFill="1" applyBorder="1" applyProtection="1">
      <protection hidden="1"/>
    </xf>
    <xf numFmtId="0" fontId="0" fillId="4" borderId="5" xfId="0" applyFill="1" applyBorder="1" applyProtection="1">
      <protection hidden="1"/>
    </xf>
    <xf numFmtId="0" fontId="0" fillId="4" borderId="25" xfId="0" applyFill="1" applyBorder="1" applyProtection="1">
      <protection hidden="1"/>
    </xf>
    <xf numFmtId="0" fontId="0" fillId="4" borderId="19" xfId="0" applyFill="1" applyBorder="1" applyAlignment="1" applyProtection="1">
      <alignment wrapText="1"/>
      <protection hidden="1"/>
    </xf>
    <xf numFmtId="0" fontId="0" fillId="4" borderId="19" xfId="0" applyFill="1" applyBorder="1" applyProtection="1">
      <protection hidden="1"/>
    </xf>
    <xf numFmtId="0" fontId="0" fillId="4" borderId="7" xfId="0" applyFill="1" applyBorder="1" applyProtection="1">
      <protection hidden="1"/>
    </xf>
    <xf numFmtId="0" fontId="0" fillId="4" borderId="0" xfId="0" applyFill="1" applyBorder="1" applyAlignment="1" applyProtection="1">
      <alignment vertical="top" wrapText="1"/>
      <protection hidden="1"/>
    </xf>
    <xf numFmtId="0" fontId="0" fillId="4" borderId="0" xfId="0" applyFill="1" applyBorder="1" applyAlignment="1" applyProtection="1">
      <alignment vertical="top"/>
      <protection hidden="1"/>
    </xf>
    <xf numFmtId="4" fontId="0" fillId="5" borderId="1" xfId="0" applyNumberFormat="1" applyFill="1" applyBorder="1" applyProtection="1">
      <protection hidden="1"/>
    </xf>
    <xf numFmtId="0" fontId="0" fillId="5" borderId="1" xfId="0" applyFill="1" applyBorder="1" applyProtection="1">
      <protection hidden="1"/>
    </xf>
    <xf numFmtId="0" fontId="0" fillId="2" borderId="8" xfId="0" applyFill="1" applyBorder="1" applyProtection="1">
      <protection hidden="1"/>
    </xf>
    <xf numFmtId="0" fontId="0" fillId="2" borderId="29" xfId="0" applyFill="1" applyBorder="1" applyProtection="1">
      <protection hidden="1"/>
    </xf>
    <xf numFmtId="0" fontId="0" fillId="2" borderId="30" xfId="0" applyFill="1" applyBorder="1" applyProtection="1">
      <protection hidden="1"/>
    </xf>
    <xf numFmtId="0" fontId="0" fillId="2" borderId="10" xfId="0" applyFill="1" applyBorder="1" applyProtection="1">
      <protection hidden="1"/>
    </xf>
    <xf numFmtId="0" fontId="0" fillId="2" borderId="31" xfId="0" applyFill="1" applyBorder="1" applyProtection="1">
      <protection hidden="1"/>
    </xf>
    <xf numFmtId="0" fontId="0" fillId="2" borderId="16" xfId="0" applyFill="1" applyBorder="1" applyProtection="1">
      <protection hidden="1"/>
    </xf>
    <xf numFmtId="0" fontId="0" fillId="2" borderId="32" xfId="0" applyFill="1" applyBorder="1" applyProtection="1">
      <protection hidden="1"/>
    </xf>
    <xf numFmtId="0" fontId="0" fillId="2" borderId="33" xfId="0" applyFill="1" applyBorder="1" applyProtection="1">
      <protection hidden="1"/>
    </xf>
    <xf numFmtId="0" fontId="1" fillId="2" borderId="0" xfId="0" applyFont="1" applyFill="1" applyAlignment="1" applyProtection="1">
      <alignment horizontal="center" vertical="top" wrapText="1"/>
      <protection hidden="1"/>
    </xf>
    <xf numFmtId="0" fontId="1" fillId="5" borderId="0" xfId="0" applyFont="1" applyFill="1" applyAlignment="1" applyProtection="1">
      <alignment horizontal="center" vertical="top" wrapText="1"/>
      <protection hidden="1"/>
    </xf>
    <xf numFmtId="0" fontId="1" fillId="2" borderId="0" xfId="0" applyFont="1" applyFill="1" applyAlignment="1" applyProtection="1">
      <alignment vertical="top" wrapText="1"/>
      <protection hidden="1"/>
    </xf>
    <xf numFmtId="0" fontId="0" fillId="2" borderId="0" xfId="0" applyFill="1" applyAlignment="1" applyProtection="1">
      <alignment vertical="top" wrapText="1"/>
      <protection hidden="1"/>
    </xf>
    <xf numFmtId="0" fontId="0" fillId="2" borderId="26" xfId="0" applyFill="1" applyBorder="1" applyAlignment="1" applyProtection="1">
      <alignment vertical="top" wrapText="1"/>
      <protection hidden="1"/>
    </xf>
    <xf numFmtId="0" fontId="0" fillId="2" borderId="28" xfId="0" applyFill="1" applyBorder="1" applyAlignment="1" applyProtection="1">
      <alignment vertical="top" wrapText="1"/>
      <protection hidden="1"/>
    </xf>
    <xf numFmtId="0" fontId="0" fillId="2" borderId="27" xfId="0" applyFill="1" applyBorder="1" applyAlignment="1" applyProtection="1">
      <alignment vertical="top" wrapText="1"/>
      <protection hidden="1"/>
    </xf>
    <xf numFmtId="0" fontId="0" fillId="0" borderId="34" xfId="0" applyFill="1" applyBorder="1" applyProtection="1">
      <protection hidden="1"/>
    </xf>
    <xf numFmtId="0" fontId="0" fillId="5" borderId="0" xfId="0" applyFill="1" applyProtection="1">
      <protection hidden="1"/>
    </xf>
    <xf numFmtId="0" fontId="16" fillId="0" borderId="0" xfId="0" applyFont="1" applyAlignment="1">
      <alignment horizontal="left" vertical="center"/>
    </xf>
    <xf numFmtId="0" fontId="14" fillId="4" borderId="23" xfId="0" applyFont="1" applyFill="1" applyBorder="1" applyAlignment="1" applyProtection="1">
      <alignment horizontal="center" vertical="center" wrapText="1"/>
      <protection hidden="1"/>
    </xf>
    <xf numFmtId="0" fontId="2" fillId="3" borderId="14" xfId="0" applyFont="1" applyFill="1" applyBorder="1" applyAlignment="1" applyProtection="1">
      <alignment horizontal="left" vertical="center" wrapText="1" indent="2"/>
      <protection hidden="1"/>
    </xf>
    <xf numFmtId="0" fontId="2" fillId="3" borderId="13" xfId="0" applyFont="1" applyFill="1" applyBorder="1" applyAlignment="1" applyProtection="1">
      <alignment horizontal="left" vertical="center" wrapText="1" indent="2"/>
      <protection hidden="1"/>
    </xf>
    <xf numFmtId="0" fontId="7" fillId="2" borderId="1" xfId="0" applyFont="1" applyFill="1" applyBorder="1" applyAlignment="1" applyProtection="1">
      <alignment horizontal="left"/>
      <protection locked="0" hidden="1"/>
    </xf>
    <xf numFmtId="0" fontId="13" fillId="4" borderId="0" xfId="0" applyFont="1" applyFill="1" applyBorder="1" applyAlignment="1" applyProtection="1">
      <alignment horizontal="center" vertical="top" wrapText="1"/>
      <protection hidden="1"/>
    </xf>
    <xf numFmtId="0" fontId="1" fillId="3" borderId="0" xfId="0" applyFont="1" applyFill="1" applyBorder="1" applyAlignment="1" applyProtection="1">
      <alignment horizontal="left" vertical="center" wrapText="1"/>
      <protection hidden="1"/>
    </xf>
    <xf numFmtId="0" fontId="12" fillId="4" borderId="2" xfId="0" applyFont="1" applyFill="1" applyBorder="1" applyAlignment="1" applyProtection="1">
      <alignment horizontal="left" vertical="top" wrapText="1"/>
      <protection hidden="1"/>
    </xf>
    <xf numFmtId="0" fontId="12" fillId="4" borderId="3" xfId="0" applyFont="1" applyFill="1" applyBorder="1" applyAlignment="1" applyProtection="1">
      <alignment horizontal="left" vertical="top" wrapText="1"/>
      <protection hidden="1"/>
    </xf>
    <xf numFmtId="0" fontId="12" fillId="4" borderId="4" xfId="0" applyFont="1" applyFill="1" applyBorder="1" applyAlignment="1" applyProtection="1">
      <alignment horizontal="left" vertical="top" wrapText="1"/>
      <protection hidden="1"/>
    </xf>
  </cellXfs>
  <cellStyles count="2">
    <cellStyle name="Normal" xfId="0" builtinId="0"/>
    <cellStyle name="Normal 2" xfId="1"/>
  </cellStyles>
  <dxfs count="1">
    <dxf>
      <font>
        <color theme="9" tint="0.59996337778862885"/>
      </font>
      <fill>
        <patternFill>
          <bgColor theme="9" tint="0.59996337778862885"/>
        </patternFill>
      </fill>
      <border>
        <right/>
        <top style="thin">
          <color auto="1"/>
        </top>
        <vertical/>
        <horizontal/>
      </border>
    </dxf>
  </dxfs>
  <tableStyles count="0" defaultTableStyle="TableStyleMedium2" defaultPivotStyle="PivotStyleLight16"/>
  <colors>
    <mruColors>
      <color rgb="FF0088EE"/>
      <color rgb="FFF6F9FC"/>
      <color rgb="FF71C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99037</xdr:rowOff>
    </xdr:from>
    <xdr:to>
      <xdr:col>1</xdr:col>
      <xdr:colOff>492162</xdr:colOff>
      <xdr:row>1</xdr:row>
      <xdr:rowOff>47625</xdr:rowOff>
    </xdr:to>
    <xdr:pic>
      <xdr:nvPicPr>
        <xdr:cNvPr id="2" name="Picture 1" descr="X:\Brand\_Brand_Management\Brand_Strategy\_FINALS\_Collateral\Letterhead_NEW_201403\FBM_INT_VERT_RGB_POS.emf"/>
        <xdr:cNvPicPr>
          <a:picLocks noChangeAspect="1"/>
        </xdr:cNvPicPr>
      </xdr:nvPicPr>
      <xdr:blipFill>
        <a:blip xmlns:r="http://schemas.openxmlformats.org/officeDocument/2006/relationships" r:embed="rId1" cstate="print"/>
        <a:srcRect/>
        <a:stretch>
          <a:fillRect/>
        </a:stretch>
      </xdr:blipFill>
      <xdr:spPr bwMode="auto">
        <a:xfrm>
          <a:off x="228600" y="99037"/>
          <a:ext cx="501687" cy="57723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U47"/>
  <sheetViews>
    <sheetView tabSelected="1" zoomScaleNormal="100" workbookViewId="0">
      <selection activeCell="C5" sqref="C5:D5"/>
    </sheetView>
  </sheetViews>
  <sheetFormatPr defaultColWidth="9.140625" defaultRowHeight="15" x14ac:dyDescent="0.25"/>
  <cols>
    <col min="1" max="1" width="3.5703125" style="1" customWidth="1"/>
    <col min="2" max="2" width="67.85546875" style="13" customWidth="1"/>
    <col min="3" max="3" width="16.5703125" style="1" customWidth="1"/>
    <col min="4" max="4" width="29.140625" style="1" customWidth="1"/>
    <col min="5" max="5" width="3.7109375" style="1" customWidth="1"/>
    <col min="6" max="59" width="13.7109375" style="1" customWidth="1"/>
    <col min="60" max="61" width="13.7109375" style="1" hidden="1" customWidth="1"/>
    <col min="62" max="62" width="20.5703125" style="1" hidden="1" customWidth="1"/>
    <col min="63" max="63" width="11.42578125" style="1" hidden="1" customWidth="1"/>
    <col min="64" max="64" width="13.85546875" style="1" hidden="1" customWidth="1"/>
    <col min="65" max="65" width="16.42578125" style="1" hidden="1" customWidth="1"/>
    <col min="66" max="67" width="11.7109375" style="1" hidden="1" customWidth="1"/>
    <col min="68" max="69" width="9.140625" style="1" hidden="1" customWidth="1"/>
    <col min="70" max="71" width="5.5703125" style="1" hidden="1" customWidth="1"/>
    <col min="72" max="72" width="10.28515625" style="1" hidden="1" customWidth="1"/>
    <col min="73" max="74" width="10.85546875" style="1" hidden="1" customWidth="1"/>
    <col min="75" max="83" width="0" style="1" hidden="1" customWidth="1"/>
    <col min="84" max="16384" width="9.140625" style="1"/>
  </cols>
  <sheetData>
    <row r="1" spans="1:151" ht="49.5" customHeight="1" x14ac:dyDescent="0.25">
      <c r="A1" s="46"/>
      <c r="B1" s="76" t="str">
        <f>"PRORATE OF FAIRTRADE MINIMUM PRICES
THAT ARE VALID FOR "&amp;$BI$1</f>
        <v>PRORATE OF FAIRTRADE MINIMUM PRICES
THAT ARE VALID FOR 2020</v>
      </c>
      <c r="C1" s="76"/>
      <c r="D1" s="76"/>
      <c r="E1" s="47"/>
      <c r="BH1" s="13" t="str">
        <f>"This tool is for prorating the country specific Fairtrade Minimum Prices for banana, which are set for an standard carton box of 18.14 kg and valid for "&amp;BI1&amp;". "</f>
        <v xml:space="preserve">This tool is for prorating the country specific Fairtrade Minimum Prices for banana, which are set for an standard carton box of 18.14 kg and valid for 2020. </v>
      </c>
      <c r="BI1" s="74">
        <v>2020</v>
      </c>
      <c r="BJ1" s="66" t="s">
        <v>19</v>
      </c>
      <c r="BK1" s="67" t="str">
        <f>"CARTON PRICE VALID FOR "&amp;BI1</f>
        <v>CARTON PRICE VALID FOR 2020</v>
      </c>
      <c r="BL1" s="66" t="s">
        <v>30</v>
      </c>
      <c r="BM1" s="66" t="s">
        <v>20</v>
      </c>
      <c r="BN1" s="67" t="str">
        <f>"FOB FMP conv valid for 2020 "&amp;BI1</f>
        <v>FOB FMP conv valid for 2020 2020</v>
      </c>
      <c r="BO1" s="67" t="str">
        <f>"FOB FMP org valid for 2020 "&amp;BI1</f>
        <v>FOB FMP org valid for 2020 2020</v>
      </c>
      <c r="BP1" s="68" t="s">
        <v>10</v>
      </c>
      <c r="BQ1" s="69"/>
      <c r="BR1" s="69"/>
      <c r="BS1" s="69"/>
      <c r="BT1" s="66" t="s">
        <v>18</v>
      </c>
      <c r="BU1" s="67" t="str">
        <f>"EXW FMP conv valid for "&amp;BI1</f>
        <v>EXW FMP conv valid for 2020</v>
      </c>
      <c r="BV1" s="67" t="str">
        <f>"EXW FMP org valid for "&amp;BI1</f>
        <v>EXW FMP org valid for 2020</v>
      </c>
      <c r="CA1" s="70" t="s">
        <v>28</v>
      </c>
      <c r="CB1" s="70" t="s">
        <v>24</v>
      </c>
      <c r="CC1" s="71" t="s">
        <v>25</v>
      </c>
      <c r="CD1" s="72" t="s">
        <v>26</v>
      </c>
      <c r="CE1" s="71" t="s">
        <v>27</v>
      </c>
      <c r="CF1" s="69" t="s">
        <v>29</v>
      </c>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row>
    <row r="2" spans="1:151" ht="9" customHeight="1" x14ac:dyDescent="0.25">
      <c r="A2" s="48"/>
      <c r="B2" s="44"/>
      <c r="C2" s="44"/>
      <c r="D2" s="44"/>
      <c r="E2" s="49"/>
      <c r="BH2" s="1" t="s">
        <v>32</v>
      </c>
      <c r="BJ2" s="2" t="s">
        <v>6</v>
      </c>
      <c r="BK2" s="57">
        <v>1.58</v>
      </c>
      <c r="BL2" s="2" t="s">
        <v>4</v>
      </c>
      <c r="BM2" s="2" t="s">
        <v>16</v>
      </c>
      <c r="BN2" s="56">
        <v>9.9</v>
      </c>
      <c r="BO2" s="73"/>
      <c r="BP2" s="1" t="s">
        <v>11</v>
      </c>
      <c r="BS2" s="3"/>
      <c r="BT2" s="1" t="s">
        <v>3</v>
      </c>
      <c r="BU2" s="56">
        <v>6.85</v>
      </c>
      <c r="BV2" s="73"/>
      <c r="CA2" s="58">
        <v>1.62</v>
      </c>
      <c r="CB2" s="59">
        <v>9.8999999999999986</v>
      </c>
      <c r="CC2" s="59"/>
      <c r="CD2" s="59">
        <v>6.85</v>
      </c>
      <c r="CE2" s="60"/>
    </row>
    <row r="3" spans="1:151" ht="125.25" customHeight="1" x14ac:dyDescent="0.25">
      <c r="A3" s="48"/>
      <c r="B3" s="81" t="str">
        <f>BH1&amp;BH2&amp;" "&amp;BH3&amp;"
"&amp;BH4</f>
        <v>This tool is for prorating the country specific Fairtrade Minimum Prices for banana, which are set for an standard carton box of 18.14 kg and valid for 2020. The tool provides 2 examples. The first one prorates Fairtrade Minimum Prices from the standard carton box of 18.14 kg to an special carton box (of a weight in kilos and price, indicated by the user in cells C18 and C19, respectively). The second example prorates Fairtrade Minimum Prices from the standard carton box of 18.14 kg to an IFCO box (of a weight in kilos, indicated by the user in cell C34). Please NOTE THAT the prorate examples ARE ONLY BASED on the variation of: a) the weight of fruit per box and b) the price of the type of packing box. ADDITIONAL COSTS, or PRICE VARIATIONS OF EXISTING INPUTS, might be also involved; for prorating them the Fairtrade Standards for Fresh Fruits must always apply.
PLEASE COMPLETE EMPTY CELLS WITH THE INFORMATION OF THE PACKING BOX YOU WANT TO RUN THE PRO-RATA</v>
      </c>
      <c r="C3" s="81"/>
      <c r="D3" s="81"/>
      <c r="E3" s="49"/>
      <c r="BH3" s="13" t="s">
        <v>34</v>
      </c>
      <c r="BJ3" s="2" t="s">
        <v>7</v>
      </c>
      <c r="BK3" s="57">
        <v>1.55</v>
      </c>
      <c r="BL3" s="2" t="s">
        <v>4</v>
      </c>
      <c r="BM3" s="2" t="s">
        <v>16</v>
      </c>
      <c r="BN3" s="73"/>
      <c r="BO3" s="56">
        <v>12.35</v>
      </c>
      <c r="BP3" s="1" t="s">
        <v>12</v>
      </c>
      <c r="BS3" s="4"/>
      <c r="BT3" s="1" t="s">
        <v>17</v>
      </c>
      <c r="BU3" s="73"/>
      <c r="BV3" s="56">
        <v>8.9499999999999993</v>
      </c>
      <c r="CA3" s="61">
        <v>1.68</v>
      </c>
      <c r="CB3" s="4"/>
      <c r="CC3" s="4">
        <v>12.3</v>
      </c>
      <c r="CD3" s="4"/>
      <c r="CE3" s="62">
        <v>8.9</v>
      </c>
    </row>
    <row r="4" spans="1:151" ht="9" customHeight="1" x14ac:dyDescent="0.25">
      <c r="A4" s="48"/>
      <c r="B4" s="44"/>
      <c r="C4" s="44"/>
      <c r="D4" s="44"/>
      <c r="E4" s="49"/>
      <c r="BH4" s="75" t="s">
        <v>31</v>
      </c>
      <c r="BJ4" s="2" t="s">
        <v>1</v>
      </c>
      <c r="BK4" s="57">
        <v>1.1399999999999999</v>
      </c>
      <c r="BL4" s="2" t="s">
        <v>4</v>
      </c>
      <c r="BM4" s="2" t="s">
        <v>16</v>
      </c>
      <c r="BN4" s="56">
        <v>9.8000000000000007</v>
      </c>
      <c r="BO4" s="73"/>
      <c r="BS4" s="4"/>
      <c r="BU4" s="56">
        <v>7.2</v>
      </c>
      <c r="BV4" s="73"/>
      <c r="CA4" s="61">
        <f>ROUND(1.42/1.19,2)</f>
        <v>1.19</v>
      </c>
      <c r="CB4" s="4">
        <v>10</v>
      </c>
      <c r="CC4" s="4"/>
      <c r="CD4" s="4">
        <v>7.35</v>
      </c>
      <c r="CE4" s="62"/>
    </row>
    <row r="5" spans="1:151" ht="15.75" x14ac:dyDescent="0.25">
      <c r="A5" s="48"/>
      <c r="B5" s="45" t="s">
        <v>21</v>
      </c>
      <c r="C5" s="79"/>
      <c r="D5" s="79"/>
      <c r="E5" s="49"/>
      <c r="BJ5" s="2" t="s">
        <v>2</v>
      </c>
      <c r="BK5" s="57">
        <v>1.35</v>
      </c>
      <c r="BL5" s="2" t="s">
        <v>4</v>
      </c>
      <c r="BM5" s="2" t="s">
        <v>16</v>
      </c>
      <c r="BN5" s="56">
        <v>9.35</v>
      </c>
      <c r="BO5" s="56">
        <v>12.2</v>
      </c>
      <c r="BS5" s="4"/>
      <c r="BU5" s="56">
        <v>6.55</v>
      </c>
      <c r="BV5" s="56">
        <v>9.3000000000000007</v>
      </c>
      <c r="CA5" s="61">
        <v>1.44</v>
      </c>
      <c r="CB5" s="4">
        <v>9.1999999999999993</v>
      </c>
      <c r="CC5" s="4">
        <v>12.1</v>
      </c>
      <c r="CD5" s="4">
        <v>6.5</v>
      </c>
      <c r="CE5" s="62">
        <v>9.25</v>
      </c>
    </row>
    <row r="6" spans="1:151" ht="15.75" x14ac:dyDescent="0.25">
      <c r="A6" s="48"/>
      <c r="B6" s="45" t="s">
        <v>22</v>
      </c>
      <c r="C6" s="79"/>
      <c r="D6" s="79"/>
      <c r="E6" s="49"/>
      <c r="BJ6" s="2" t="s">
        <v>8</v>
      </c>
      <c r="BK6" s="57">
        <v>1.7</v>
      </c>
      <c r="BL6" s="2" t="s">
        <v>4</v>
      </c>
      <c r="BM6" s="2" t="s">
        <v>16</v>
      </c>
      <c r="BN6" s="56">
        <v>12.2</v>
      </c>
      <c r="BO6" s="73"/>
      <c r="BS6" s="4"/>
      <c r="BU6" s="56">
        <v>8.9499999999999993</v>
      </c>
      <c r="BV6" s="73"/>
      <c r="CA6" s="61">
        <v>1.74</v>
      </c>
      <c r="CB6" s="4">
        <v>12.2</v>
      </c>
      <c r="CC6" s="4"/>
      <c r="CD6" s="4">
        <v>8.9499999999999993</v>
      </c>
      <c r="CE6" s="62"/>
    </row>
    <row r="7" spans="1:151" ht="15.75" x14ac:dyDescent="0.25">
      <c r="A7" s="48"/>
      <c r="B7" s="45" t="s">
        <v>23</v>
      </c>
      <c r="C7" s="79"/>
      <c r="D7" s="79"/>
      <c r="E7" s="49"/>
      <c r="BJ7" s="2" t="s">
        <v>0</v>
      </c>
      <c r="BK7" s="57">
        <v>1.35</v>
      </c>
      <c r="BL7" s="2" t="s">
        <v>4</v>
      </c>
      <c r="BM7" s="2" t="s">
        <v>16</v>
      </c>
      <c r="BN7" s="56">
        <v>9.75</v>
      </c>
      <c r="BO7" s="73"/>
      <c r="BS7" s="4"/>
      <c r="BU7" s="56">
        <v>6.6</v>
      </c>
      <c r="BV7" s="73"/>
      <c r="CA7" s="61">
        <v>1.45</v>
      </c>
      <c r="CB7" s="4">
        <v>9.6999999999999993</v>
      </c>
      <c r="CC7" s="4"/>
      <c r="CD7" s="4">
        <v>6.55</v>
      </c>
      <c r="CE7" s="62"/>
    </row>
    <row r="8" spans="1:151" ht="57.75" customHeight="1" x14ac:dyDescent="0.25">
      <c r="A8" s="48"/>
      <c r="B8" s="80" t="str">
        <f>IF($BO$11=FALSE,"",
IF($BN$11=0,"Prorate cannot run. This table only estimates the pro-rated price value for banana types with country specific Fairtrade Minimum Prices. There is no country specific Fairtrade Minimum Price for "&amp;BL11&amp;" banana from "&amp;$C$5,""))</f>
        <v/>
      </c>
      <c r="C8" s="80"/>
      <c r="D8" s="80"/>
      <c r="E8" s="49"/>
      <c r="BJ8" s="2" t="s">
        <v>9</v>
      </c>
      <c r="BK8" s="57">
        <v>1.75</v>
      </c>
      <c r="BL8" s="2" t="s">
        <v>4</v>
      </c>
      <c r="BM8" s="2" t="s">
        <v>16</v>
      </c>
      <c r="BN8" s="56">
        <v>11</v>
      </c>
      <c r="BO8" s="56">
        <v>13.6</v>
      </c>
      <c r="BS8" s="4"/>
      <c r="BU8" s="56">
        <v>7.15</v>
      </c>
      <c r="BV8" s="56">
        <v>9.75</v>
      </c>
      <c r="CA8" s="61">
        <v>1.85</v>
      </c>
      <c r="CB8" s="4">
        <v>11</v>
      </c>
      <c r="CC8" s="4">
        <v>13.600000000000001</v>
      </c>
      <c r="CD8" s="4">
        <v>7.2</v>
      </c>
      <c r="CE8" s="62">
        <v>9.8000000000000007</v>
      </c>
    </row>
    <row r="9" spans="1:151" ht="9" customHeight="1" thickBot="1" x14ac:dyDescent="0.3">
      <c r="A9" s="48"/>
      <c r="B9" s="43"/>
      <c r="C9" s="43"/>
      <c r="D9" s="43"/>
      <c r="E9" s="49"/>
      <c r="BJ9" s="2" t="s">
        <v>5</v>
      </c>
      <c r="BK9" s="57">
        <v>1.34</v>
      </c>
      <c r="BL9" s="2" t="s">
        <v>4</v>
      </c>
      <c r="BM9" s="2" t="s">
        <v>16</v>
      </c>
      <c r="BN9" s="56">
        <v>9.4</v>
      </c>
      <c r="BO9" s="73"/>
      <c r="BS9" s="4"/>
      <c r="BU9" s="56">
        <v>6.85</v>
      </c>
      <c r="BV9" s="73"/>
      <c r="CA9" s="63">
        <v>1.42</v>
      </c>
      <c r="CB9" s="64">
        <v>9.3000000000000007</v>
      </c>
      <c r="CC9" s="64"/>
      <c r="CD9" s="64">
        <v>6.75</v>
      </c>
      <c r="CE9" s="65"/>
    </row>
    <row r="10" spans="1:151" ht="33" customHeight="1" thickBot="1" x14ac:dyDescent="0.45">
      <c r="A10" s="48"/>
      <c r="B10" s="82" t="str">
        <f>"EXAMPLE 1:
  PRORATE TO SPECIAL CARTON BOX "&amp;IF(ISBLANK($C$18),"OF __ kg (PLEASE ENTER THE WEIGHT IN KILOGRAMS IN CELL C18)","OF "&amp;$C$18&amp;"kg FOR BANANA")</f>
        <v>EXAMPLE 1:
  PRORATE TO SPECIAL CARTON BOX OF __ kg (PLEASE ENTER THE WEIGHT IN KILOGRAMS IN CELL C18)</v>
      </c>
      <c r="C10" s="83"/>
      <c r="D10" s="84"/>
      <c r="E10" s="49"/>
      <c r="BK10" s="5"/>
      <c r="BM10" s="5"/>
      <c r="BS10" s="5"/>
      <c r="BU10" s="6"/>
    </row>
    <row r="11" spans="1:151" ht="15" customHeight="1" x14ac:dyDescent="0.25">
      <c r="A11" s="48"/>
      <c r="B11" s="14" t="s">
        <v>33</v>
      </c>
      <c r="C11" s="15"/>
      <c r="D11" s="16"/>
      <c r="E11" s="49"/>
      <c r="BH11" s="1" t="b">
        <f>IF(OR(ISBLANK(C18),ISBLANK(C19)),TRUE,FALSE)</f>
        <v>1</v>
      </c>
      <c r="BJ11" s="1" t="str">
        <f>IF($BO$11=FALSE,"",VLOOKUP($C$5,$BJ$2:$BK$9,1,FALSE))</f>
        <v/>
      </c>
      <c r="BK11" s="1" t="str">
        <f>IF($BO$11=FALSE,"",VLOOKUP($C$5,$BJ$2:$BK$9,2,FALSE))</f>
        <v/>
      </c>
      <c r="BL11" s="1" t="str">
        <f>IF($C$6=$BP$2,"conventional","organic")</f>
        <v>organic</v>
      </c>
      <c r="BN11" s="6" t="str">
        <f>IF($BO$11=FALSE,"",IF($C$6=$BP$2,VLOOKUP($C$5,$BJ$2:$BO$9,5,FALSE),
VLOOKUP($C$5,$BJ$2:$BO$9,6,FALSE)))</f>
        <v/>
      </c>
      <c r="BO11" s="1" t="b">
        <f>AND(ISBLANK(C5)=FALSE,ISBLANK(C6)=FALSE,ISBLANK(C7)=FALSE)</f>
        <v>0</v>
      </c>
      <c r="BU11" s="6" t="str">
        <f>IF($BO$11=FALSE,"",IF($C$6=$BP$2,VLOOKUP($C$5,$BJ$2:$BV$9,12,FALSE),
VLOOKUP($C$5,$BJ$2:$BV$9,13,FALSE)))</f>
        <v/>
      </c>
    </row>
    <row r="12" spans="1:151" ht="45.75" customHeight="1" x14ac:dyDescent="0.25">
      <c r="A12" s="48"/>
      <c r="B12" s="17" t="str">
        <f>IF(BO11=FALSE,"",
IF($BN$11=0,"",
"• Price of the standard carton box ("&amp;VLOOKUP($C$5,$BJ$2:$BM$9,4,FALSE)&amp;" the value added tax), that was used for estimating the Fairtrade Minimum Price for Fairtrade banana from "&amp;$BJ$11&amp;":"))</f>
        <v/>
      </c>
      <c r="C12" s="18" t="str">
        <f>IF($BN$11=0,"",BK11)</f>
        <v/>
      </c>
      <c r="D12" s="19" t="str">
        <f>IF(BO11=FALSE,"",
IF($BN$11=0,"",
"USD/box"&amp;$C$13&amp;"kg"))</f>
        <v/>
      </c>
      <c r="E12" s="49"/>
    </row>
    <row r="13" spans="1:151" ht="45" x14ac:dyDescent="0.25">
      <c r="A13" s="48"/>
      <c r="B13" s="20" t="str">
        <f>IF(BO11=FALSE,"",
IF($BN$11=0,"",
"• Banana volume per standard carton box (that was used as unit of measurement for estimating the Fairtrade Minimum Price for Fairtrade banana from "&amp;$BJ$11&amp;"):"))</f>
        <v/>
      </c>
      <c r="C13" s="21" t="str">
        <f>IF(BO11=FALSE,"",
IF($BN$11=0,"",
18.14))</f>
        <v/>
      </c>
      <c r="D13" s="22" t="str">
        <f>IF(BO11=FALSE,"",
IF($BN$11=0,"",
"kg"))</f>
        <v/>
      </c>
      <c r="E13" s="49"/>
      <c r="BK13"/>
      <c r="BN13" s="6"/>
      <c r="BU13" s="6"/>
    </row>
    <row r="14" spans="1:151" x14ac:dyDescent="0.25">
      <c r="A14" s="48"/>
      <c r="B14" s="23" t="s">
        <v>13</v>
      </c>
      <c r="C14" s="18"/>
      <c r="D14" s="19"/>
      <c r="E14" s="49"/>
    </row>
    <row r="15" spans="1:151" ht="30.75" customHeight="1" x14ac:dyDescent="0.25">
      <c r="A15" s="48"/>
      <c r="B15" s="17" t="str">
        <f>IF(BO11=FALSE,"",
IF($BN$11=0,"",
"• "&amp;$C$7&amp;" Fairtrade Minimum Price "&amp;$BI$1&amp;", in US dollars per box of "&amp;$C$13&amp;"kg of "&amp;$C$6&amp;" from "&amp;$BJ$11&amp;":"))</f>
        <v/>
      </c>
      <c r="C15" s="24" t="str">
        <f>IF(AND($C$7=$BT$2,$BN$11=0),"",
IF($C$7=$BT$2,$BN$11,
IF(AND($C$7=$BT$3,$BU$11=0),"",
IF($C$7=$BT$3,$BU$11,""))))</f>
        <v/>
      </c>
      <c r="D15" s="19" t="str">
        <f>D12</f>
        <v/>
      </c>
      <c r="E15" s="49"/>
      <c r="BJ15" s="8"/>
    </row>
    <row r="16" spans="1:151" ht="33.75" customHeight="1" x14ac:dyDescent="0.25">
      <c r="A16" s="48"/>
      <c r="B16" s="20" t="str">
        <f>IF(BO11=FALSE,"",
IF(OR($C$7=$BT$3,$C$15=""),"",
"• Ex Works Fairtrade Minimum Price "&amp;$BI$1&amp;", in US dollars per box of "&amp;$C$13&amp;"kg of "&amp;$C$6&amp;" from "&amp;$BJ$11&amp;":"))</f>
        <v/>
      </c>
      <c r="C16" s="25" t="str">
        <f>IF(BO11=FALSE,"",
IF(OR($C$7=$BT$3,$C$15=""),"",
IF($C$7=$BT$2,$BU$11,"")))</f>
        <v/>
      </c>
      <c r="D16" s="22" t="str">
        <f>IF(BO11=FALSE,"",
IF(OR($C$7=$BT$3,$C$15=""),"",D15))</f>
        <v/>
      </c>
      <c r="E16" s="49"/>
      <c r="BJ16" s="8"/>
    </row>
    <row r="17" spans="1:62" ht="15.75" x14ac:dyDescent="0.25">
      <c r="A17" s="48"/>
      <c r="B17" s="26" t="s">
        <v>15</v>
      </c>
      <c r="C17" s="24"/>
      <c r="D17" s="19"/>
      <c r="E17" s="49"/>
      <c r="BJ17" s="8"/>
    </row>
    <row r="18" spans="1:62" ht="30" x14ac:dyDescent="0.25">
      <c r="A18" s="48"/>
      <c r="B18" s="27" t="str">
        <f>IF(BO11=FALSE,"",
IF($BN$11=0,"",
"• Banana volume per special carton box (for which the Fairtrade Minimum Price will be prorated):"))</f>
        <v/>
      </c>
      <c r="C18" s="7"/>
      <c r="D18" s="19" t="str">
        <f>D13</f>
        <v/>
      </c>
      <c r="E18" s="49"/>
    </row>
    <row r="19" spans="1:62" ht="33.75" customHeight="1" x14ac:dyDescent="0.25">
      <c r="A19" s="48"/>
      <c r="B19" s="28" t="str">
        <f>IF(BO11=FALSE,"",
IF($BN$11=0,"",
IF(ISBLANK($C$18),"",
IF($C$7=$BT$2,
"• Price of the special carton box ("&amp;VLOOKUP($C$5,$BJ$2:$BM$9,4,FALSE)&amp;" the value added tax), paid by the producer that exports by themselves:",
IF($C$7=$BT$3,
"• Price of the special carton box ("&amp;VLOOKUP($C$5,$BJ$2:$BM$9,4,FALSE)&amp;" the value added tax), paid by the producer at Ex Works level:")))))</f>
        <v/>
      </c>
      <c r="C19" s="9"/>
      <c r="D19" s="22" t="str">
        <f>IF(BO11=FALSE,"",
IF(ISBLANK($C$18),"","USD/box"&amp;$C$18&amp;"kg"))</f>
        <v/>
      </c>
      <c r="E19" s="49"/>
    </row>
    <row r="20" spans="1:62" ht="18.75" x14ac:dyDescent="0.25">
      <c r="A20" s="48"/>
      <c r="B20" s="29" t="s">
        <v>35</v>
      </c>
      <c r="C20" s="32"/>
      <c r="D20" s="19"/>
      <c r="E20" s="49"/>
    </row>
    <row r="21" spans="1:62" ht="18" customHeight="1" x14ac:dyDescent="0.25">
      <c r="A21" s="48"/>
      <c r="B21" s="77" t="str">
        <f>IF(BO11=FALSE,"",
IF($BN$11=0,"",
IF($BH$11,"",
"• Prorated "&amp;$C$7&amp;" Fairtrade Minimum Price "&amp;$BI$1&amp;" per special carton box of "&amp;$C$18&amp;"kg of "&amp;$C$6&amp;" from "&amp;C5&amp;":")))</f>
        <v/>
      </c>
      <c r="C21" s="33" t="str">
        <f>IF(BO11=FALSE,"",
IF($BH$11,"",
IF($C$15="","",
IF($C$7=$BT$2,ROUND((((C15-C12)/C13)*C18)+C19,2),
IF($C$7=$BT$3,ROUND((((C15)/C13)*C18),2))))))</f>
        <v/>
      </c>
      <c r="D21" s="30" t="str">
        <f>IF(BO11=FALSE,"",
IF($BH$11,"",
D19))</f>
        <v/>
      </c>
      <c r="E21" s="49"/>
    </row>
    <row r="22" spans="1:62" x14ac:dyDescent="0.25">
      <c r="A22" s="48"/>
      <c r="B22" s="77"/>
      <c r="C22" s="34" t="str">
        <f>IF(BO11=FALSE,"",
IF($BH$11,"",
IF($C$15="","",
IF($C$7=$BT$2," = [("&amp;$C$15&amp;"-"&amp;$C$12&amp;")/"&amp;$C$13&amp;"]*"&amp;$C$18&amp;"+"&amp;ROUND($C$19,2)&amp;" = "&amp;$C$21,
IF($C$7=$BT$3," = ("&amp;$C$15&amp;")/"&amp;$C$13&amp;"*"&amp;$C$18&amp;" = "&amp;$C$21)))))</f>
        <v/>
      </c>
      <c r="D22" s="19"/>
      <c r="E22" s="49"/>
    </row>
    <row r="23" spans="1:62" x14ac:dyDescent="0.25">
      <c r="A23" s="48"/>
      <c r="B23" s="77" t="str">
        <f>IF(BO11=FALSE,"",
IF($BN$11=0,"",
IF($BH$11,"",
IF(OR($C$7=$BT$3,$C$15=""),"",
"• Prorated Ex Works Fairtrade Minimum Price "&amp;$BI$1&amp;" per special carton box of "&amp;$C$18&amp;"kg of "&amp;$C$6&amp;" from "&amp;C5&amp;":"))))</f>
        <v/>
      </c>
      <c r="C23" s="33" t="str">
        <f>IF(BO11=FALSE,"",
IF($BH$11,"",
IF(OR($C$7=$BT$3,$C$15=""),"",
ROUND((((BU11)/C13)*C18),2))))</f>
        <v/>
      </c>
      <c r="D23" s="30" t="str">
        <f>IF(BO11=FALSE,"",
IF(OR($C$7=$BT$3,$C$15=""),"",
D21))</f>
        <v/>
      </c>
      <c r="E23" s="49"/>
    </row>
    <row r="24" spans="1:62" ht="27" thickBot="1" x14ac:dyDescent="0.45">
      <c r="A24" s="48"/>
      <c r="B24" s="78"/>
      <c r="C24" s="35" t="str">
        <f>IF(BO11=FALSE,"",
IF($BH$11,"",
IF(OR($C$7=$BT$3,$C$15=""),"",
" = ["&amp;$BU$11&amp;"/"&amp;$C$13&amp;"]*"&amp;$C$18&amp;" = "&amp;$C$23)))</f>
        <v/>
      </c>
      <c r="D24" s="31"/>
      <c r="E24" s="49"/>
      <c r="BF24" s="5"/>
    </row>
    <row r="25" spans="1:62" ht="15.75" thickBot="1" x14ac:dyDescent="0.3">
      <c r="A25" s="48"/>
      <c r="B25" s="54"/>
      <c r="C25" s="55"/>
      <c r="D25" s="55"/>
      <c r="E25" s="49"/>
      <c r="BF25" s="10"/>
    </row>
    <row r="26" spans="1:62" ht="32.25" customHeight="1" thickBot="1" x14ac:dyDescent="0.3">
      <c r="A26" s="48"/>
      <c r="B26" s="82" t="str">
        <f>"EXAMPLE 2:
  PRORATE TO IFCO BOX "&amp;IF(ISBLANK($C$34),"OF __ KG (PLEASE ENTER THE WEIGHT IN KILOGRAMS IN CELL C34)","OF "&amp;$C$34&amp;"kg FOR BANANA")</f>
        <v>EXAMPLE 2:
  PRORATE TO IFCO BOX OF __ KG (PLEASE ENTER THE WEIGHT IN KILOGRAMS IN CELL C34)</v>
      </c>
      <c r="C26" s="83"/>
      <c r="D26" s="84"/>
      <c r="E26" s="49"/>
    </row>
    <row r="27" spans="1:62" x14ac:dyDescent="0.25">
      <c r="A27" s="48"/>
      <c r="B27" s="14" t="str">
        <f t="shared" ref="B27:B32" si="0">B11</f>
        <v>Standard carton box (Fairtrade)</v>
      </c>
      <c r="C27" s="15"/>
      <c r="D27" s="16"/>
      <c r="E27" s="49"/>
      <c r="BJ27" s="10"/>
    </row>
    <row r="28" spans="1:62" ht="48.75" customHeight="1" x14ac:dyDescent="0.25">
      <c r="A28" s="48"/>
      <c r="B28" s="17" t="str">
        <f t="shared" si="0"/>
        <v/>
      </c>
      <c r="C28" s="18" t="str">
        <f>C12</f>
        <v/>
      </c>
      <c r="D28" s="19" t="str">
        <f>D12</f>
        <v/>
      </c>
      <c r="E28" s="49"/>
    </row>
    <row r="29" spans="1:62" ht="49.5" customHeight="1" x14ac:dyDescent="0.25">
      <c r="A29" s="48"/>
      <c r="B29" s="17" t="str">
        <f t="shared" si="0"/>
        <v/>
      </c>
      <c r="C29" s="18" t="str">
        <f>C13</f>
        <v/>
      </c>
      <c r="D29" s="19" t="str">
        <f>D13</f>
        <v/>
      </c>
      <c r="E29" s="49"/>
    </row>
    <row r="30" spans="1:62" ht="18.75" x14ac:dyDescent="0.25">
      <c r="A30" s="48"/>
      <c r="B30" s="36" t="str">
        <f t="shared" si="0"/>
        <v>Fairtrade Minimum Price</v>
      </c>
      <c r="C30" s="37"/>
      <c r="D30" s="38"/>
      <c r="E30" s="49"/>
    </row>
    <row r="31" spans="1:62" ht="33.75" customHeight="1" x14ac:dyDescent="0.25">
      <c r="A31" s="48"/>
      <c r="B31" s="27" t="str">
        <f t="shared" si="0"/>
        <v/>
      </c>
      <c r="C31" s="24" t="str">
        <f>C15</f>
        <v/>
      </c>
      <c r="D31" s="19" t="str">
        <f>D15</f>
        <v/>
      </c>
      <c r="E31" s="49"/>
    </row>
    <row r="32" spans="1:62" ht="33.75" customHeight="1" x14ac:dyDescent="0.25">
      <c r="A32" s="48"/>
      <c r="B32" s="28" t="str">
        <f t="shared" si="0"/>
        <v/>
      </c>
      <c r="C32" s="39" t="str">
        <f>C16</f>
        <v/>
      </c>
      <c r="D32" s="22" t="str">
        <f>D16</f>
        <v/>
      </c>
      <c r="E32" s="49"/>
    </row>
    <row r="33" spans="1:77" x14ac:dyDescent="0.25">
      <c r="A33" s="48"/>
      <c r="B33" s="29" t="s">
        <v>14</v>
      </c>
      <c r="C33" s="24"/>
      <c r="D33" s="19"/>
      <c r="E33" s="49"/>
      <c r="BJ33" s="10"/>
      <c r="BR33" s="4"/>
      <c r="BS33" s="4"/>
      <c r="BT33" s="4"/>
      <c r="BU33" s="4"/>
      <c r="BV33" s="4"/>
      <c r="BW33" s="4"/>
      <c r="BX33" s="4"/>
      <c r="BY33" s="4"/>
    </row>
    <row r="34" spans="1:77" ht="32.25" customHeight="1" x14ac:dyDescent="0.25">
      <c r="A34" s="48"/>
      <c r="B34" s="27" t="str">
        <f>IF(BO11=FALSE,"",
IF($BN$11=0,"",
"• Banana volume per IFCO box (for which the Fairtrade Minimum Price will be prorated):"))</f>
        <v/>
      </c>
      <c r="C34" s="7"/>
      <c r="D34" s="40" t="str">
        <f>D29</f>
        <v/>
      </c>
      <c r="E34" s="49"/>
      <c r="BR34" s="4"/>
      <c r="BS34" s="4"/>
      <c r="BT34" s="4"/>
      <c r="BU34" s="4"/>
      <c r="BV34" s="4"/>
      <c r="BW34" s="4"/>
      <c r="BX34" s="4"/>
      <c r="BY34" s="4"/>
    </row>
    <row r="35" spans="1:77" ht="17.25" customHeight="1" x14ac:dyDescent="0.25">
      <c r="A35" s="48"/>
      <c r="B35" s="27" t="str">
        <f>IF(BO11=FALSE,"",
IF($BN$11=0,"",
IF(ISBLANK($C$34),"",
IF($C$7=$BT$2,
"• Price per IFCO box paid by the producer that exports by themselves:",
IF($C$7=$BT$3,
"• Price per IFCO box paid by the producer at Ex Works level:")))))</f>
        <v/>
      </c>
      <c r="C35" s="21" t="str">
        <f>IF(BO11=FALSE,"",
IF(ISBLANK($C$34),"",
IF($BN$11=0,"",0)))</f>
        <v/>
      </c>
      <c r="D35" s="19" t="str">
        <f>IF(BO11=FALSE,"",
IF(ISBLANK($C$34),"","USD/IFCObox"&amp;$C$34&amp;"kg"))</f>
        <v/>
      </c>
      <c r="E35" s="49"/>
      <c r="BR35" s="4"/>
      <c r="BS35" s="4"/>
      <c r="BT35" s="4"/>
      <c r="BU35" s="4"/>
      <c r="BV35" s="4"/>
      <c r="BW35" s="4"/>
      <c r="BX35" s="4"/>
      <c r="BY35" s="4"/>
    </row>
    <row r="36" spans="1:77" ht="16.5" customHeight="1" x14ac:dyDescent="0.25">
      <c r="A36" s="48"/>
      <c r="B36" s="36" t="str">
        <f>B20</f>
        <v>Prorate</v>
      </c>
      <c r="C36" s="37"/>
      <c r="D36" s="38"/>
      <c r="E36" s="49"/>
      <c r="BR36" s="4"/>
      <c r="BS36" s="4"/>
      <c r="BT36" s="4"/>
      <c r="BU36" s="4"/>
      <c r="BV36" s="4"/>
      <c r="BW36" s="4"/>
      <c r="BX36" s="4"/>
      <c r="BY36" s="4"/>
    </row>
    <row r="37" spans="1:77" ht="17.25" customHeight="1" x14ac:dyDescent="0.25">
      <c r="A37" s="48"/>
      <c r="B37" s="77" t="str">
        <f>IF(BO11=FALSE,"",
IF($BN$11=0,"",
IF(ISBLANK($C$34),"",
"• Prorated "&amp;$C$7&amp;" Fairtrade Minimum Price "&amp;$BI$1&amp;" per IFCO box of "&amp;$C$34&amp;"kg of "&amp;$C$6&amp;" from "&amp;$C$5&amp;":")))</f>
        <v/>
      </c>
      <c r="C37" s="42" t="str">
        <f>IF(BO11=FALSE,"",
IF(ISBLANK($C$34),"",
IF($C$31="","",
IF($C$7=$BT$2,ROUND((((C31-C28)/C29)*C34)+C35,2),
IF($C$7=$BT$3,ROUND(((C31/C29)*C34),2))))))</f>
        <v/>
      </c>
      <c r="D37" s="41" t="str">
        <f>IF(BO11=FALSE,"",
D35)</f>
        <v/>
      </c>
      <c r="E37" s="49"/>
      <c r="BR37" s="4"/>
      <c r="BS37" s="4"/>
      <c r="BT37" s="4"/>
      <c r="BU37" s="4"/>
      <c r="BV37" s="4"/>
      <c r="BW37" s="4"/>
      <c r="BX37" s="4"/>
      <c r="BY37" s="4"/>
    </row>
    <row r="38" spans="1:77" ht="19.5" customHeight="1" x14ac:dyDescent="0.4">
      <c r="A38" s="48"/>
      <c r="B38" s="77"/>
      <c r="C38" s="18" t="str">
        <f>IF(BO11=FALSE,"",
IF(ISBLANK($C$34),"",
IF($C$31="","",
IF($C$7=$BT$2," = [("&amp;$C$31&amp;"-"&amp;$C$28&amp;")/"&amp;$C$29&amp;"]*"&amp;$C$34&amp;" + "&amp;$C$35&amp;" = "&amp;$C$37,
IF($C$7=$BT$3," = ("&amp;$C$31&amp;"/"&amp;$C$29&amp;")*"&amp;$C$34&amp;" = "&amp;$C$37)))))</f>
        <v/>
      </c>
      <c r="D38" s="19"/>
      <c r="E38" s="49"/>
      <c r="BR38" s="4"/>
      <c r="BS38" s="11"/>
      <c r="BT38" s="4"/>
      <c r="BU38" s="12"/>
      <c r="BV38" s="12"/>
      <c r="BW38" s="4"/>
      <c r="BX38" s="4"/>
      <c r="BY38" s="4"/>
    </row>
    <row r="39" spans="1:77" x14ac:dyDescent="0.25">
      <c r="A39" s="48"/>
      <c r="B39" s="77" t="str">
        <f>IF(BO11=FALSE,"",
IF($BN$11=0,"",
IF(ISBLANK($C$34),"",
IF(OR($C$7=$BT$3,$C$31=""),"","• Prorated Ex Works Fairtrade Minimum Price "&amp;$BI$1&amp;" per IFCO box of "&amp;$C$34&amp;"kg of "&amp;$C$6&amp;" from "&amp;$C$5&amp;":"))))</f>
        <v/>
      </c>
      <c r="C39" s="42" t="str">
        <f>IF(BO11=FALSE,"",
IF(ISBLANK($C$34),"",
IF(OR($C$7=$BT$3,$C$31=""),"",
ROUND(((BU11/C29)*C34),2))))</f>
        <v/>
      </c>
      <c r="D39" s="41" t="str">
        <f>IF(BO11=FALSE,"",
IF(OR($C$7=$BT$3,$C$31=""),"",
D37))</f>
        <v/>
      </c>
      <c r="E39" s="49"/>
      <c r="BR39" s="4"/>
      <c r="BS39" s="4"/>
      <c r="BT39" s="4"/>
      <c r="BU39" s="12"/>
      <c r="BV39" s="12"/>
      <c r="BW39" s="4"/>
      <c r="BX39" s="4"/>
      <c r="BY39" s="4"/>
    </row>
    <row r="40" spans="1:77" ht="24" customHeight="1" thickBot="1" x14ac:dyDescent="0.3">
      <c r="A40" s="48"/>
      <c r="B40" s="78"/>
      <c r="C40" s="35" t="str">
        <f>IF(BO11=FALSE,"",
IF(ISBLANK($C$34),"",
IF(OR($C$7=$BT$3,$C$31=""),"",
" = ["&amp;$BU$11&amp;"/"&amp;$C$29&amp;"]*"&amp;$C$34&amp;" = "&amp;$C$39)))</f>
        <v/>
      </c>
      <c r="D40" s="31"/>
      <c r="E40" s="49"/>
      <c r="BR40" s="4"/>
      <c r="BS40" s="4"/>
      <c r="BT40" s="4"/>
      <c r="BU40" s="12"/>
      <c r="BV40" s="12"/>
      <c r="BW40" s="4"/>
      <c r="BX40" s="4"/>
      <c r="BY40" s="4"/>
    </row>
    <row r="41" spans="1:77" ht="15.75" thickBot="1" x14ac:dyDescent="0.3">
      <c r="A41" s="50"/>
      <c r="B41" s="51"/>
      <c r="C41" s="52"/>
      <c r="D41" s="52"/>
      <c r="E41" s="53"/>
      <c r="BR41" s="4"/>
      <c r="BS41" s="4"/>
      <c r="BT41" s="4"/>
      <c r="BU41" s="12"/>
      <c r="BV41" s="12"/>
      <c r="BW41" s="4"/>
      <c r="BX41" s="4"/>
      <c r="BY41" s="4"/>
    </row>
    <row r="42" spans="1:77" x14ac:dyDescent="0.25">
      <c r="A42" s="13"/>
      <c r="C42" s="13"/>
      <c r="D42" s="13"/>
      <c r="E42" s="13"/>
      <c r="BR42" s="4"/>
      <c r="BS42" s="4"/>
      <c r="BT42" s="4"/>
      <c r="BU42" s="12"/>
      <c r="BV42" s="12"/>
      <c r="BW42" s="4"/>
      <c r="BX42" s="4"/>
      <c r="BY42" s="4"/>
    </row>
    <row r="43" spans="1:77" x14ac:dyDescent="0.25">
      <c r="C43" s="10"/>
      <c r="BR43" s="4"/>
      <c r="BS43" s="4"/>
      <c r="BT43" s="4"/>
      <c r="BU43" s="12"/>
      <c r="BV43" s="12"/>
      <c r="BW43" s="4"/>
      <c r="BX43" s="4"/>
      <c r="BY43" s="4"/>
    </row>
    <row r="44" spans="1:77" x14ac:dyDescent="0.25">
      <c r="BR44" s="4"/>
      <c r="BS44" s="4"/>
      <c r="BT44" s="4"/>
      <c r="BU44" s="12"/>
      <c r="BV44" s="12"/>
      <c r="BW44" s="4"/>
      <c r="BX44" s="4"/>
      <c r="BY44" s="4"/>
    </row>
    <row r="45" spans="1:77" x14ac:dyDescent="0.25">
      <c r="BR45" s="4"/>
      <c r="BS45" s="4"/>
      <c r="BT45" s="4"/>
      <c r="BU45" s="4"/>
      <c r="BV45" s="4"/>
      <c r="BW45" s="4"/>
      <c r="BX45" s="4"/>
      <c r="BY45" s="4"/>
    </row>
    <row r="46" spans="1:77" x14ac:dyDescent="0.25">
      <c r="BR46" s="4"/>
      <c r="BS46" s="4"/>
      <c r="BT46" s="4"/>
      <c r="BU46" s="4"/>
      <c r="BV46" s="4"/>
      <c r="BW46" s="4"/>
      <c r="BX46" s="4"/>
      <c r="BY46" s="4"/>
    </row>
    <row r="47" spans="1:77" x14ac:dyDescent="0.25">
      <c r="BR47" s="4"/>
      <c r="BS47" s="4"/>
      <c r="BT47" s="4"/>
      <c r="BU47" s="4"/>
      <c r="BV47" s="4"/>
      <c r="BW47" s="4"/>
      <c r="BX47" s="4"/>
      <c r="BY47" s="4"/>
    </row>
  </sheetData>
  <sheetProtection algorithmName="SHA-512" hashValue="56DyUjFu76uS47vNPE/6GoSTjR9vNOzj3JJkoi+PT0jOAEEG8fOfRNeYwEAXv/Z3E4gDr5zjeDxi+LoCswERVw==" saltValue="YQIzajDMeV1R0i4OVwphUw==" spinCount="100000" sheet="1" objects="1" scenarios="1"/>
  <mergeCells count="12">
    <mergeCell ref="B1:D1"/>
    <mergeCell ref="B37:B38"/>
    <mergeCell ref="B39:B40"/>
    <mergeCell ref="C5:D5"/>
    <mergeCell ref="C6:D6"/>
    <mergeCell ref="B8:D8"/>
    <mergeCell ref="C7:D7"/>
    <mergeCell ref="B21:B22"/>
    <mergeCell ref="B23:B24"/>
    <mergeCell ref="B3:D3"/>
    <mergeCell ref="B10:D10"/>
    <mergeCell ref="B26:D26"/>
  </mergeCells>
  <conditionalFormatting sqref="C19">
    <cfRule type="expression" dxfId="0" priority="1">
      <formula>ISBLANK($C$18)</formula>
    </cfRule>
  </conditionalFormatting>
  <dataValidations count="3">
    <dataValidation type="list" allowBlank="1" showInputMessage="1" showErrorMessage="1" sqref="C6">
      <formula1>$BP$2:$BP$3</formula1>
    </dataValidation>
    <dataValidation type="list" allowBlank="1" showInputMessage="1" showErrorMessage="1" sqref="C7:D7">
      <formula1>$BT$2:$BT$3</formula1>
    </dataValidation>
    <dataValidation type="list" allowBlank="1" showInputMessage="1" showErrorMessage="1" sqref="C5">
      <formula1>$BJ$2:$BJ$9</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prorata JP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user</cp:lastModifiedBy>
  <cp:lastPrinted>2018-10-31T15:05:48Z</cp:lastPrinted>
  <dcterms:created xsi:type="dcterms:W3CDTF">2018-07-16T02:52:01Z</dcterms:created>
  <dcterms:modified xsi:type="dcterms:W3CDTF">2020-02-27T11:54:56Z</dcterms:modified>
</cp:coreProperties>
</file>