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210121_Lenovo_backup\Banana 2021\Prorate tool 2021\"/>
    </mc:Choice>
  </mc:AlternateContent>
  <workbookProtection workbookAlgorithmName="SHA-512" workbookHashValue="jr9Ear2vrn3Qzq6mVisHMEmpS5nsofpWaKbzYYha8UPlEoWAiWQd6pFs0Mum/vNL3oxIOsryVRELJcvIYZQvBA==" workbookSaltValue="pNZp+G8JPp6gQ9UmI94+yg==" workbookSpinCount="100000" lockStructure="1"/>
  <bookViews>
    <workbookView xWindow="21672" yWindow="300" windowWidth="16392" windowHeight="11580" tabRatio="846"/>
  </bookViews>
  <sheets>
    <sheet name="prorata JP" sheetId="28" r:id="rId1"/>
  </sheets>
  <calcPr calcId="162913"/>
</workbook>
</file>

<file path=xl/calcChain.xml><?xml version="1.0" encoding="utf-8"?>
<calcChain xmlns="http://schemas.openxmlformats.org/spreadsheetml/2006/main">
  <c r="LH31" i="28" l="1"/>
  <c r="LG31" i="28"/>
  <c r="LF31" i="28"/>
  <c r="LE31" i="28"/>
  <c r="LH13" i="28"/>
  <c r="LG13" i="28"/>
  <c r="LF13" i="28"/>
  <c r="LE13" i="28"/>
  <c r="JZ8" i="28" l="1"/>
  <c r="JZ7" i="28"/>
  <c r="JZ6" i="28"/>
  <c r="JZ5" i="28"/>
  <c r="B9" i="28"/>
  <c r="B8" i="28"/>
  <c r="B4" i="28"/>
  <c r="JE9" i="28"/>
  <c r="JE8" i="28"/>
  <c r="JF8" i="28" s="1"/>
  <c r="JP44" i="28"/>
  <c r="KH6" i="28"/>
  <c r="KH5" i="28"/>
  <c r="KB5" i="28"/>
  <c r="KB12" i="28"/>
  <c r="KB11" i="28"/>
  <c r="KB10" i="28"/>
  <c r="KB9" i="28"/>
  <c r="KB8" i="28"/>
  <c r="KB7" i="28"/>
  <c r="KB6" i="28"/>
  <c r="JU5" i="28"/>
  <c r="JV5" i="28"/>
  <c r="JW5" i="28"/>
  <c r="JP7" i="28"/>
  <c r="JP6" i="28"/>
  <c r="JP5" i="28"/>
  <c r="JP4" i="28"/>
  <c r="JW4" i="28"/>
  <c r="JV4" i="28"/>
  <c r="JU4" i="28"/>
  <c r="JT4" i="28"/>
  <c r="JX22" i="28" l="1"/>
  <c r="JX23" i="28"/>
  <c r="JP47" i="28"/>
  <c r="JI95" i="28" s="1"/>
  <c r="JI103" i="28" s="1"/>
  <c r="JI111" i="28" s="1"/>
  <c r="JP48" i="28"/>
  <c r="JP49" i="28"/>
  <c r="JI97" i="28" s="1"/>
  <c r="JI105" i="28" s="1"/>
  <c r="JI113" i="28" s="1"/>
  <c r="JP50" i="28"/>
  <c r="JI98" i="28" s="1"/>
  <c r="JI106" i="28" s="1"/>
  <c r="JI114" i="28" s="1"/>
  <c r="JP51" i="28"/>
  <c r="JI99" i="28" s="1"/>
  <c r="JI107" i="28" s="1"/>
  <c r="JI115" i="28" s="1"/>
  <c r="JP52" i="28"/>
  <c r="JI100" i="28" s="1"/>
  <c r="JI108" i="28" s="1"/>
  <c r="JI116" i="28" s="1"/>
  <c r="JP53" i="28"/>
  <c r="JI101" i="28" s="1"/>
  <c r="JI109" i="28" s="1"/>
  <c r="JI117" i="28" s="1"/>
  <c r="JP46" i="28"/>
  <c r="JI94" i="28" s="1"/>
  <c r="JI102" i="28" s="1"/>
  <c r="JI110" i="28" s="1"/>
  <c r="JP39" i="28"/>
  <c r="JI71" i="28" s="1"/>
  <c r="JI79" i="28" s="1"/>
  <c r="JI87" i="28" s="1"/>
  <c r="JP40" i="28"/>
  <c r="JP41" i="28"/>
  <c r="JI73" i="28" s="1"/>
  <c r="JI81" i="28" s="1"/>
  <c r="JI89" i="28" s="1"/>
  <c r="JP42" i="28"/>
  <c r="JI74" i="28" s="1"/>
  <c r="JI82" i="28" s="1"/>
  <c r="JI90" i="28" s="1"/>
  <c r="JP43" i="28"/>
  <c r="JI75" i="28" s="1"/>
  <c r="JI83" i="28" s="1"/>
  <c r="JI91" i="28" s="1"/>
  <c r="JI76" i="28"/>
  <c r="JI84" i="28" s="1"/>
  <c r="JI92" i="28" s="1"/>
  <c r="JP45" i="28"/>
  <c r="JI77" i="28" s="1"/>
  <c r="JI85" i="28" s="1"/>
  <c r="JI93" i="28" s="1"/>
  <c r="JP38" i="28"/>
  <c r="JI70" i="28" s="1"/>
  <c r="JI78" i="28" s="1"/>
  <c r="JI86" i="28" s="1"/>
  <c r="JP31" i="28"/>
  <c r="JI47" i="28" s="1"/>
  <c r="JI55" i="28" s="1"/>
  <c r="JI63" i="28" s="1"/>
  <c r="JP32" i="28"/>
  <c r="JP33" i="28"/>
  <c r="JP34" i="28"/>
  <c r="JI50" i="28" s="1"/>
  <c r="JI58" i="28" s="1"/>
  <c r="JI66" i="28" s="1"/>
  <c r="JP35" i="28"/>
  <c r="JI51" i="28" s="1"/>
  <c r="JI59" i="28" s="1"/>
  <c r="JI67" i="28" s="1"/>
  <c r="JP36" i="28"/>
  <c r="JI52" i="28" s="1"/>
  <c r="JI60" i="28" s="1"/>
  <c r="JI68" i="28" s="1"/>
  <c r="JP37" i="28"/>
  <c r="JI53" i="28" s="1"/>
  <c r="JI61" i="28" s="1"/>
  <c r="JI69" i="28" s="1"/>
  <c r="JP30" i="28"/>
  <c r="JI46" i="28" s="1"/>
  <c r="JI54" i="28" s="1"/>
  <c r="JI62" i="28" s="1"/>
  <c r="JP23" i="28"/>
  <c r="JI23" i="28" s="1"/>
  <c r="JI31" i="28" s="1"/>
  <c r="JI39" i="28" s="1"/>
  <c r="JP24" i="28"/>
  <c r="JP25" i="28"/>
  <c r="JP26" i="28"/>
  <c r="JI26" i="28" s="1"/>
  <c r="JI34" i="28" s="1"/>
  <c r="JI42" i="28" s="1"/>
  <c r="JP27" i="28"/>
  <c r="JI27" i="28" s="1"/>
  <c r="JI35" i="28" s="1"/>
  <c r="JI43" i="28" s="1"/>
  <c r="JP28" i="28"/>
  <c r="JI28" i="28" s="1"/>
  <c r="JI36" i="28" s="1"/>
  <c r="JI44" i="28" s="1"/>
  <c r="JP29" i="28"/>
  <c r="JI29" i="28" s="1"/>
  <c r="JI37" i="28" s="1"/>
  <c r="JI45" i="28" s="1"/>
  <c r="JP22" i="28"/>
  <c r="JP21" i="28"/>
  <c r="JP20" i="28"/>
  <c r="JP19" i="28"/>
  <c r="JP18" i="28"/>
  <c r="JP17" i="28"/>
  <c r="JP16" i="28"/>
  <c r="JP15" i="28"/>
  <c r="JP14" i="28"/>
  <c r="JQ53" i="28"/>
  <c r="JQ52" i="28"/>
  <c r="JQ51" i="28"/>
  <c r="JQ50" i="28"/>
  <c r="JQ49" i="28"/>
  <c r="JQ48" i="28"/>
  <c r="JQ47" i="28"/>
  <c r="JO47" i="28" s="1"/>
  <c r="JQ46" i="28"/>
  <c r="JO46" i="28" s="1"/>
  <c r="JQ21" i="28"/>
  <c r="JQ20" i="28"/>
  <c r="JQ45" i="28"/>
  <c r="JO45" i="28" s="1"/>
  <c r="JQ44" i="28"/>
  <c r="JO44" i="28" s="1"/>
  <c r="JQ43" i="28"/>
  <c r="JO43" i="28" s="1"/>
  <c r="JQ42" i="28"/>
  <c r="JO42" i="28" s="1"/>
  <c r="JQ41" i="28"/>
  <c r="JO41" i="28" s="1"/>
  <c r="JQ40" i="28"/>
  <c r="JO40" i="28" s="1"/>
  <c r="JQ39" i="28"/>
  <c r="JO39" i="28" s="1"/>
  <c r="JQ38" i="28"/>
  <c r="JQ19" i="28"/>
  <c r="JQ18" i="28"/>
  <c r="JQ37" i="28"/>
  <c r="JQ36" i="28"/>
  <c r="JQ35" i="28"/>
  <c r="JQ34" i="28"/>
  <c r="JO34" i="28" s="1"/>
  <c r="JQ33" i="28"/>
  <c r="JO33" i="28" s="1"/>
  <c r="JQ32" i="28"/>
  <c r="JO32" i="28" s="1"/>
  <c r="JQ31" i="28"/>
  <c r="JO31" i="28" s="1"/>
  <c r="JQ30" i="28"/>
  <c r="JQ17" i="28"/>
  <c r="JQ16" i="28"/>
  <c r="JQ15" i="28"/>
  <c r="JQ29" i="28"/>
  <c r="JO29" i="28" s="1"/>
  <c r="JQ28" i="28"/>
  <c r="JQ27" i="28"/>
  <c r="JQ26" i="28"/>
  <c r="JO26" i="28" s="1"/>
  <c r="JQ25" i="28"/>
  <c r="JO25" i="28" s="1"/>
  <c r="JQ24" i="28"/>
  <c r="JO24" i="28" s="1"/>
  <c r="JQ23" i="28"/>
  <c r="JQ22" i="28"/>
  <c r="JQ14" i="28"/>
  <c r="JO30" i="28" l="1"/>
  <c r="JF27" i="28"/>
  <c r="JF29" i="28" s="1"/>
  <c r="JF31" i="28" s="1"/>
  <c r="JF43" i="28"/>
  <c r="JF20" i="28"/>
  <c r="JF22" i="28" s="1"/>
  <c r="JF24" i="28" s="1"/>
  <c r="JF40" i="28"/>
  <c r="JF21" i="28"/>
  <c r="JF23" i="28" s="1"/>
  <c r="JF25" i="28" s="1"/>
  <c r="JF41" i="28"/>
  <c r="JF26" i="28"/>
  <c r="JF28" i="28" s="1"/>
  <c r="JF30" i="28" s="1"/>
  <c r="JF42" i="28"/>
  <c r="JO38" i="28"/>
  <c r="JF32" i="28"/>
  <c r="JF34" i="28" s="1"/>
  <c r="JF36" i="28" s="1"/>
  <c r="JF44" i="28"/>
  <c r="JO28" i="28"/>
  <c r="JF33" i="28"/>
  <c r="JF35" i="28" s="1"/>
  <c r="JF37" i="28" s="1"/>
  <c r="JF45" i="28"/>
  <c r="JF14" i="28"/>
  <c r="JF16" i="28" s="1"/>
  <c r="JF18" i="28" s="1"/>
  <c r="JF38" i="28"/>
  <c r="JF15" i="28"/>
  <c r="JF17" i="28" s="1"/>
  <c r="JF19" i="28" s="1"/>
  <c r="JF39" i="28"/>
  <c r="JH23" i="28"/>
  <c r="JO23" i="28"/>
  <c r="JO27" i="28"/>
  <c r="JI22" i="28"/>
  <c r="JI30" i="28" s="1"/>
  <c r="JI38" i="28" s="1"/>
  <c r="JH22" i="28"/>
  <c r="JO22" i="28"/>
  <c r="JO52" i="28"/>
  <c r="JO19" i="28"/>
  <c r="JE43" i="28" s="1"/>
  <c r="JO18" i="28"/>
  <c r="JE42" i="28" s="1"/>
  <c r="JE36" i="28"/>
  <c r="JO50" i="28"/>
  <c r="JO36" i="28"/>
  <c r="JO35" i="28"/>
  <c r="JH27" i="28"/>
  <c r="JH110" i="28"/>
  <c r="JE35" i="28"/>
  <c r="JE37" i="28"/>
  <c r="JH76" i="28"/>
  <c r="JO53" i="28"/>
  <c r="JE17" i="28"/>
  <c r="JE29" i="28"/>
  <c r="JE22" i="28"/>
  <c r="JH24" i="28"/>
  <c r="JE23" i="28"/>
  <c r="JE33" i="28"/>
  <c r="JE19" i="28"/>
  <c r="JE18" i="28"/>
  <c r="JE31" i="28"/>
  <c r="JE21" i="28"/>
  <c r="JE27" i="28"/>
  <c r="JE25" i="28"/>
  <c r="JH53" i="28"/>
  <c r="JE30" i="28"/>
  <c r="JE15" i="28"/>
  <c r="JE26" i="28"/>
  <c r="JH38" i="28"/>
  <c r="JH95" i="28"/>
  <c r="JE20" i="28"/>
  <c r="JH94" i="28"/>
  <c r="JE28" i="28"/>
  <c r="JH102" i="28"/>
  <c r="JH75" i="28"/>
  <c r="JE32" i="28"/>
  <c r="JH63" i="28"/>
  <c r="JH93" i="28"/>
  <c r="JH99" i="28"/>
  <c r="JH73" i="28"/>
  <c r="JH81" i="28"/>
  <c r="JH67" i="28"/>
  <c r="JE34" i="28"/>
  <c r="JH62" i="28"/>
  <c r="JH78" i="28"/>
  <c r="JH96" i="28"/>
  <c r="JH104" i="28"/>
  <c r="JH32" i="28"/>
  <c r="JH40" i="28"/>
  <c r="JH69" i="28"/>
  <c r="JH59" i="28"/>
  <c r="JH26" i="28"/>
  <c r="JO20" i="28"/>
  <c r="JE44" i="28" s="1"/>
  <c r="JH72" i="28"/>
  <c r="JH61" i="28"/>
  <c r="JH114" i="28"/>
  <c r="JH92" i="28"/>
  <c r="JH106" i="28"/>
  <c r="JH28" i="28"/>
  <c r="JI24" i="28"/>
  <c r="JI32" i="28" s="1"/>
  <c r="JI40" i="28" s="1"/>
  <c r="JI48" i="28"/>
  <c r="JI56" i="28" s="1"/>
  <c r="JI64" i="28" s="1"/>
  <c r="JI72" i="28"/>
  <c r="JI80" i="28" s="1"/>
  <c r="JI88" i="28" s="1"/>
  <c r="JI96" i="28"/>
  <c r="JI104" i="28" s="1"/>
  <c r="JI112" i="28" s="1"/>
  <c r="JE14" i="28"/>
  <c r="JE24" i="28"/>
  <c r="JH30" i="28"/>
  <c r="JH52" i="28"/>
  <c r="JH98" i="28"/>
  <c r="JH29" i="28"/>
  <c r="JI25" i="28"/>
  <c r="JI33" i="28" s="1"/>
  <c r="JI41" i="28" s="1"/>
  <c r="JI49" i="28"/>
  <c r="JI57" i="28" s="1"/>
  <c r="JI65" i="28" s="1"/>
  <c r="JE16" i="28"/>
  <c r="JH105" i="28"/>
  <c r="JH44" i="28"/>
  <c r="JH50" i="28"/>
  <c r="JH25" i="28"/>
  <c r="JH33" i="28"/>
  <c r="JH86" i="28"/>
  <c r="JH83" i="28"/>
  <c r="JH71" i="28"/>
  <c r="JH85" i="28"/>
  <c r="JH116" i="28"/>
  <c r="JH112" i="28"/>
  <c r="JH48" i="28"/>
  <c r="JH79" i="28"/>
  <c r="JH77" i="28"/>
  <c r="JH90" i="28"/>
  <c r="JH57" i="28"/>
  <c r="JH55" i="28"/>
  <c r="JH46" i="28"/>
  <c r="JH88" i="28"/>
  <c r="JO15" i="28"/>
  <c r="JE39" i="28" s="1"/>
  <c r="JH54" i="28"/>
  <c r="JH117" i="28"/>
  <c r="JH84" i="28"/>
  <c r="JH115" i="28"/>
  <c r="JH51" i="28"/>
  <c r="JH82" i="28"/>
  <c r="JH113" i="28"/>
  <c r="JH49" i="28"/>
  <c r="JH80" i="28"/>
  <c r="JH111" i="28"/>
  <c r="JH47" i="28"/>
  <c r="JH42" i="28"/>
  <c r="JO48" i="28"/>
  <c r="JO16" i="28"/>
  <c r="JE40" i="28" s="1"/>
  <c r="JH109" i="28"/>
  <c r="JH45" i="28"/>
  <c r="JH107" i="28"/>
  <c r="JH43" i="28"/>
  <c r="JH74" i="28"/>
  <c r="JH41" i="28"/>
  <c r="JH103" i="28"/>
  <c r="JH39" i="28"/>
  <c r="JH108" i="28"/>
  <c r="JH100" i="28"/>
  <c r="JH34" i="28"/>
  <c r="JO49" i="28"/>
  <c r="JH70" i="28"/>
  <c r="JH101" i="28"/>
  <c r="JH37" i="28"/>
  <c r="JH68" i="28"/>
  <c r="JH35" i="28"/>
  <c r="JH66" i="28"/>
  <c r="JH97" i="28"/>
  <c r="JH64" i="28"/>
  <c r="JH31" i="28"/>
  <c r="JH36" i="28"/>
  <c r="JH65" i="28"/>
  <c r="JH60" i="28"/>
  <c r="JH91" i="28"/>
  <c r="JH58" i="28"/>
  <c r="JH89" i="28"/>
  <c r="JH56" i="28"/>
  <c r="JH87" i="28"/>
  <c r="JO51" i="28"/>
  <c r="JO37" i="28"/>
  <c r="JO21" i="28"/>
  <c r="JE45" i="28" s="1"/>
  <c r="JO17" i="28"/>
  <c r="JE41" i="28" s="1"/>
  <c r="JO14" i="28"/>
  <c r="JT5" i="28"/>
  <c r="LH4" i="28"/>
  <c r="JE38" i="28" l="1"/>
  <c r="JF9" i="28"/>
  <c r="JG8" i="28" s="1"/>
  <c r="LF41" i="28"/>
  <c r="LG41" i="28"/>
  <c r="LH41" i="28"/>
  <c r="B23" i="28" l="1"/>
  <c r="LF4" i="28"/>
  <c r="LE4" i="28"/>
  <c r="LG4" i="28"/>
  <c r="KD14" i="28"/>
  <c r="KE5" i="28"/>
  <c r="KE6" i="28"/>
  <c r="KE7" i="28"/>
  <c r="KE8" i="28"/>
  <c r="KE9" i="28"/>
  <c r="KE10" i="28"/>
  <c r="KE11" i="28"/>
  <c r="KE12" i="28"/>
  <c r="LE41" i="28"/>
  <c r="LH35" i="28"/>
  <c r="LE35" i="28"/>
  <c r="B13" i="28" l="1"/>
  <c r="B35" i="28"/>
  <c r="B38" i="28"/>
  <c r="B17" i="28"/>
  <c r="B32" i="28"/>
  <c r="B31" i="28"/>
  <c r="B41" i="28"/>
  <c r="B20" i="28"/>
  <c r="B14" i="28"/>
  <c r="JZ14" i="28"/>
  <c r="B6" i="28" l="1"/>
  <c r="KN4" i="28"/>
  <c r="KM4" i="28"/>
  <c r="KG4" i="28"/>
  <c r="KF4" i="28"/>
  <c r="KC4" i="28"/>
  <c r="KS7" i="28"/>
  <c r="KG14" i="28"/>
  <c r="KF14" i="28" l="1"/>
  <c r="KM14" i="28"/>
  <c r="KB14" i="28"/>
  <c r="KC14" i="28"/>
  <c r="LE11" i="28" l="1"/>
  <c r="C16" i="28"/>
  <c r="D15" i="28" s="1"/>
  <c r="LH11" i="28"/>
  <c r="LF11" i="28"/>
  <c r="C40" i="28"/>
  <c r="D16" i="28"/>
  <c r="LG11" i="28"/>
  <c r="C15" i="28"/>
  <c r="C33" i="28" s="1"/>
  <c r="C18" i="28"/>
  <c r="LE28" i="28" s="1"/>
  <c r="LE16" i="28"/>
  <c r="LH24" i="28"/>
  <c r="LG21" i="28"/>
  <c r="LH40" i="28"/>
  <c r="LH15" i="28"/>
  <c r="LH16" i="28"/>
  <c r="LG39" i="28"/>
  <c r="LE22" i="28"/>
  <c r="LE40" i="28"/>
  <c r="LE21" i="28"/>
  <c r="LH39" i="28"/>
  <c r="LH21" i="28"/>
  <c r="LG42" i="28"/>
  <c r="LG15" i="28"/>
  <c r="LG33" i="28" s="1"/>
  <c r="LF24" i="28"/>
  <c r="LF21" i="28"/>
  <c r="LF16" i="28"/>
  <c r="LH42" i="28"/>
  <c r="LF22" i="28"/>
  <c r="LE39" i="28"/>
  <c r="LE15" i="28"/>
  <c r="LG22" i="28"/>
  <c r="LG40" i="28"/>
  <c r="LH22" i="28"/>
  <c r="LG24" i="28"/>
  <c r="LG16" i="28"/>
  <c r="LG34" i="28" s="1"/>
  <c r="LF40" i="28"/>
  <c r="LF39" i="28"/>
  <c r="LE42" i="28"/>
  <c r="LF42" i="28"/>
  <c r="LF15" i="28"/>
  <c r="LF33" i="28" s="1"/>
  <c r="LE24" i="28"/>
  <c r="B11" i="28" l="1"/>
  <c r="B15" i="28"/>
  <c r="C34" i="28"/>
  <c r="B24" i="28"/>
  <c r="B40" i="28"/>
  <c r="B22" i="28"/>
  <c r="B39" i="28"/>
  <c r="B42" i="28"/>
  <c r="LF34" i="28"/>
  <c r="B16" i="28"/>
  <c r="B21" i="28"/>
  <c r="LE33" i="28"/>
  <c r="LE34" i="28"/>
  <c r="LG28" i="28"/>
  <c r="LH26" i="28"/>
  <c r="LF26" i="28"/>
  <c r="LE18" i="28"/>
  <c r="LF18" i="28"/>
  <c r="LF36" i="28" s="1"/>
  <c r="LH18" i="28"/>
  <c r="LH36" i="28" s="1"/>
  <c r="LG18" i="28"/>
  <c r="LG36" i="28" s="1"/>
  <c r="LG26" i="28"/>
  <c r="LF28" i="28"/>
  <c r="LH28" i="28"/>
  <c r="LE26" i="28"/>
  <c r="D33" i="28"/>
  <c r="LH34" i="28"/>
  <c r="LH33" i="28"/>
  <c r="D21" i="28"/>
  <c r="D34" i="28"/>
  <c r="D39" i="28" s="1"/>
  <c r="C36" i="28"/>
  <c r="LG19" i="28"/>
  <c r="LG37" i="28" s="1"/>
  <c r="LH19" i="28"/>
  <c r="LE19" i="28"/>
  <c r="C19" i="28"/>
  <c r="C37" i="28" s="1"/>
  <c r="LF19" i="28"/>
  <c r="LF37" i="28" s="1"/>
  <c r="C24" i="28"/>
  <c r="C25" i="28" s="1"/>
  <c r="C26" i="28"/>
  <c r="C27" i="28" s="1"/>
  <c r="D40" i="28"/>
  <c r="D42" i="28" s="1"/>
  <c r="D46" i="28" s="1"/>
  <c r="B28" i="28" l="1"/>
  <c r="B19" i="28"/>
  <c r="B18" i="28"/>
  <c r="B34" i="28"/>
  <c r="B26" i="28"/>
  <c r="B33" i="28"/>
  <c r="LE37" i="28"/>
  <c r="LE36" i="28"/>
  <c r="B36" i="28" s="1"/>
  <c r="D22" i="28"/>
  <c r="D24" i="28" s="1"/>
  <c r="D26" i="28" s="1"/>
  <c r="D28" i="28" s="1"/>
  <c r="C28" i="28"/>
  <c r="C29" i="28" s="1"/>
  <c r="LG46" i="28"/>
  <c r="LF46" i="28"/>
  <c r="LE44" i="28"/>
  <c r="LH44" i="28"/>
  <c r="LH46" i="28"/>
  <c r="LG44" i="28"/>
  <c r="LF44" i="28"/>
  <c r="LE46" i="28"/>
  <c r="D18" i="28"/>
  <c r="C42" i="28"/>
  <c r="C46" i="28" s="1"/>
  <c r="C47" i="28" s="1"/>
  <c r="C44" i="28"/>
  <c r="C45" i="28" s="1"/>
  <c r="D44" i="28"/>
  <c r="LH37" i="28"/>
  <c r="B37" i="28" l="1"/>
  <c r="B44" i="28"/>
  <c r="B46" i="28"/>
  <c r="D36" i="28"/>
  <c r="D19" i="28"/>
  <c r="D37" i="28" s="1"/>
  <c r="C43" i="28"/>
</calcChain>
</file>

<file path=xl/sharedStrings.xml><?xml version="1.0" encoding="utf-8"?>
<sst xmlns="http://schemas.openxmlformats.org/spreadsheetml/2006/main" count="171" uniqueCount="106">
  <si>
    <t>Costa Rica</t>
  </si>
  <si>
    <t>Colombia</t>
  </si>
  <si>
    <t>Ecuador</t>
  </si>
  <si>
    <t>FOB</t>
  </si>
  <si>
    <t>USD/caja</t>
  </si>
  <si>
    <t>Nicaragua</t>
  </si>
  <si>
    <t>Panama</t>
  </si>
  <si>
    <t>Peru</t>
  </si>
  <si>
    <t>Windward Islands</t>
  </si>
  <si>
    <t>Dominican Republic</t>
  </si>
  <si>
    <t>Type of banana</t>
  </si>
  <si>
    <t>conventional Fairtrade banana</t>
  </si>
  <si>
    <t>organic Fairtrade banana</t>
  </si>
  <si>
    <t>Fairtrade Minimum Price</t>
  </si>
  <si>
    <t>IFCO box</t>
  </si>
  <si>
    <t>Special carton box</t>
  </si>
  <si>
    <t>without including</t>
  </si>
  <si>
    <t>Ex Works</t>
  </si>
  <si>
    <t>Price level</t>
  </si>
  <si>
    <t>COUNTRY</t>
  </si>
  <si>
    <t>VAT or w/o VAT</t>
  </si>
  <si>
    <t>Choose banana producer country:</t>
  </si>
  <si>
    <t>Choose type of Fairtrade banana:</t>
  </si>
  <si>
    <t>FOB FMP conv valid for 2019</t>
  </si>
  <si>
    <t>FOB FMP org valid for 2019</t>
  </si>
  <si>
    <t>EXW FMP conv valid for 2019</t>
  </si>
  <si>
    <t>EXW FMP org valid for 2019</t>
  </si>
  <si>
    <t>CARTON PRICE VALID FOR 2020</t>
  </si>
  <si>
    <t xml:space="preserve"> </t>
  </si>
  <si>
    <t>unit of measurement of the price</t>
  </si>
  <si>
    <t>PLEASE COMPLETE EMPTY CELLS WITH THE INFORMATION OF THE PACKING BOX YOU WANT TO RUN THE PRO-RATA</t>
  </si>
  <si>
    <t>Standard carton box (Fairtrade)</t>
  </si>
  <si>
    <t>Prorate</t>
  </si>
  <si>
    <t>Please NOTE THAT the prorate examples ARE ONLY BASED on the variation of: a) the weight of fruit per box and b) the price of the type of packing box. ADDITIONAL COSTS, or PRICE VARIATIONS OF EXISTING INPUTS, might be also involved; for prorating them the Fairtrade Standards for Fresh Fruits must always apply.</t>
  </si>
  <si>
    <t>Elija el país productor de banano:</t>
  </si>
  <si>
    <t>Elija el tipo de banano Fairtrade:</t>
  </si>
  <si>
    <t>Precio Mínimo Fairtrade</t>
  </si>
  <si>
    <t>Caja de cartón especial</t>
  </si>
  <si>
    <t>Prorrateo</t>
  </si>
  <si>
    <t>Caja de cartón estándar (Fairtrade)</t>
  </si>
  <si>
    <t>Caja IFCO</t>
  </si>
  <si>
    <t>Tenga en cuenta que los ejemplos de prorrateo SE BASAN ÚNICAMENTE en la variación de: a) el peso de la fruta por caja y b) el precio de la caja que depende el material de empaque que tenga la caja. También puede haber costes adicionales o variaciones de precio de los insumos existentes; para prorratearlos deben aplicarse siempre los Criterios de Comercio Justo Fairtrade para Frutas Frescas.</t>
  </si>
  <si>
    <t>sin incluir</t>
  </si>
  <si>
    <t>banano Fairtrade convencional</t>
  </si>
  <si>
    <t xml:space="preserve">banano Fairtrade orgánico </t>
  </si>
  <si>
    <t>Caja de cartón estándar</t>
  </si>
  <si>
    <t>Panamá</t>
  </si>
  <si>
    <t>Perú</t>
  </si>
  <si>
    <t>Islas Barlovento</t>
  </si>
  <si>
    <t>República Dominicana</t>
  </si>
  <si>
    <t>Pérou</t>
  </si>
  <si>
    <t>Colombie</t>
  </si>
  <si>
    <t>Équateur</t>
  </si>
  <si>
    <t>Îles du Vent</t>
  </si>
  <si>
    <t>République dominicaine</t>
  </si>
  <si>
    <t>Colômbia</t>
  </si>
  <si>
    <t>Equador</t>
  </si>
  <si>
    <t>Ilhas do Barlavento</t>
  </si>
  <si>
    <t>Nicarágua</t>
  </si>
  <si>
    <t>sem incluir</t>
  </si>
  <si>
    <t>banana convencional de comércio justo</t>
  </si>
  <si>
    <t>banana biológica de comércio justo</t>
  </si>
  <si>
    <t>sans inclure</t>
  </si>
  <si>
    <t>banane conventionnelle du commerce équitable</t>
  </si>
  <si>
    <t>Choisissez le pays producteur de bananes:</t>
  </si>
  <si>
    <t>Choisissez le type de banane du commerce équitable:</t>
  </si>
  <si>
    <t>Escolher país produtor de banana:</t>
  </si>
  <si>
    <t>Escolher o tipo de banana de Comércio Justo:</t>
  </si>
  <si>
    <t>Boîte en carton standard (commerce équitable)</t>
  </si>
  <si>
    <t>Caixa de cartão padrão (Comércio Justo)</t>
  </si>
  <si>
    <t>Preço Mínimo de Comércio Justo</t>
  </si>
  <si>
    <t>Prix minimum du commerce équitable</t>
  </si>
  <si>
    <t>Boîte en carton spéciale</t>
  </si>
  <si>
    <t>Caixa de cartão especial</t>
  </si>
  <si>
    <t>Rateio</t>
  </si>
  <si>
    <t>Répartition</t>
  </si>
  <si>
    <t>Boîte IFCO</t>
  </si>
  <si>
    <t>Caixa IFCO</t>
  </si>
  <si>
    <t>Veuillez noter que les exemples de prorata sont uniquement basés sur la variation : a) du poids des fruits par boîte et b) du prix du type de boîte d'emballage. Des coûts supplémentaires, ou des variations de prix des entrées existantes, peuvent également être impliqués ; pour les calculer au prorata, les standards du commerce équitable pour les fruits frais doivent toujours s'appliquer.</t>
  </si>
  <si>
    <t>Por favor, note que os exemplos pro rata SÓ se baseiam na variação: a) do peso da fruta por caixa e b) do preço do tipo de caixa de embalagem. CUSTOS ADICIONAIS, ou VARIAÇÕES DE PREÇO DE ENTRADAS EXISTENTES, podem também estar envolvidos; para a sua prorrogação devem aplicar-se sempre as Normas de Comércio Justo para Frutas Frescas.</t>
  </si>
  <si>
    <t>POR FAVOR PREENCHA AS CÉLULAS VAZIAS COM A INFORMAÇÃO DA CAIXA DE EMBALAGEM QUE DESEJA FAZER O CÁLCULO PROPORCIONAL</t>
  </si>
  <si>
    <t>VEUILLEZ REMPLIR LES CELLULES VIDES AVEC LES INFORMATIONS RELATIVES À LA BOÎTE D'EMBALLAGE QUE VOUS SOUHAITEZ UTILISER AU PRORATA</t>
  </si>
  <si>
    <t>organic</t>
  </si>
  <si>
    <t>biologique</t>
  </si>
  <si>
    <t>biológica</t>
  </si>
  <si>
    <t>conventional</t>
  </si>
  <si>
    <t>conventionnelle</t>
  </si>
  <si>
    <t>convencional</t>
  </si>
  <si>
    <t>orgánica</t>
  </si>
  <si>
    <t>Choose language/ Elegir idioma/ Choisir la langue/ Escolher idioma:</t>
  </si>
  <si>
    <t>English</t>
  </si>
  <si>
    <r>
      <t>Espa</t>
    </r>
    <r>
      <rPr>
        <sz val="11"/>
        <color theme="1"/>
        <rFont val="Calibri"/>
        <family val="2"/>
      </rPr>
      <t>ñ</t>
    </r>
    <r>
      <rPr>
        <sz val="11"/>
        <color theme="1"/>
        <rFont val="Calibri"/>
        <family val="2"/>
        <scheme val="minor"/>
      </rPr>
      <t>ol</t>
    </r>
  </si>
  <si>
    <t>Português</t>
  </si>
  <si>
    <t>Français</t>
  </si>
  <si>
    <t xml:space="preserve">Please re-enter the name of the banana producer country and the type of banana Fairtrade according with the chose language  </t>
  </si>
  <si>
    <t xml:space="preserve">Veuillez saisir à nouveau le nom du pays producteur de bananes et le type de banane Fairtrade en fonction de la langue choisie </t>
  </si>
  <si>
    <t xml:space="preserve">Por favor, re-insira o nome do país produtor da banana e o tipo de banana Fairtrade de acordo com a língua escolhida  </t>
  </si>
  <si>
    <t xml:space="preserve">Por favor, vuelva a introducir el nombre del país productor de banano y el tipo de banano Fairtrade de acuerdo con el idioma elegido </t>
  </si>
  <si>
    <t>banane biologique du commerce équitable</t>
  </si>
  <si>
    <t>TRUE para ocultar texto,
FALSE para mostrar texto</t>
  </si>
  <si>
    <t>si vemos #N/A, confirma que el idioma elegido y el idioma del nombre país no coinciden.
Si vemos un nombre significa que el idioma elegido y el idioma del nombre país coinciden</t>
  </si>
  <si>
    <t>POR FAVOR, COMPLETE LAS CELDAS VACÍAS CON LA INFORMACIÓN DE LA CAJA DE EMPAQUE PARA LA QUE DESEA HACER EL CÁLCULO DEL PRORRATEO</t>
  </si>
  <si>
    <t>The tool provides 2 examples. The first one prorates Fairtrade Minimum Prices from the standard carton box of 18.14 kg to an special carton box (of a weight in kilos and price, indicated by the user in cells C21 and C22, respectively). The second example prorates Fairtrade Minimum Prices from the standard carton box of 18.14 kg to an IFCO box (of a weight in kilos, indicated by the user in cell C39).</t>
  </si>
  <si>
    <t>L'outil fournit 2 exemples. Le premier répartit les prix minimums du commerce équitable au prorata de la boîte en carton standard de 18,14 kg à une boîte en carton spéciale (d'un poids en kilos et d'un prix, indiqués par l'utilisateur dans les cellules C21 et C22, respectivement). Le second exemple répartit au prorata les prix minimums du commerce équitable de la boîte en carton standard de 18,14 kg à une boîte IFCO (d'un poids en kilos, indiqué par l'utilisateur dans la cellule C39).</t>
  </si>
  <si>
    <t>A ferramenta fornece 2 exemplos. O primeiro prorroga os Preços Mínimos de Comércio Justo da caixa de cartão padrão de 18,14 kg para uma caixa de cartão especial (de um peso em quilos e preço, indicado pelo utilizador nas células C21 e C22, respectivamente). O segundo exemplo prorroga os Preços Mínimos do Comércio Justo da caixa de cartão padrão de 18,14 kg para uma caixa IFCO (de um peso em quilos, indicado pelo utilizador na célula C39).</t>
  </si>
  <si>
    <t>La herramienta ofrece dos ejemplos. El primero prorratea los Precios Mínimos Fairtrade de la caja de cartón estándar de 18,14 kg a una caja de cartón especial (de un peso en kilos y un precio, indicados por el usuario en las celdas C21 y C22, respectivamente). El segundo ejemplo prorratea los Precios Mínimos Fairtrade de la caja de cartón estándar de 18,14 kg a una caja IFCO (de un peso en kilos, indicado por el usuario en la celda C39).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</si>
</sst>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11"/>
      <name val="Calibri"/>
      <family val="2"/>
      <scheme val="minor"/>
    </font>
    <font>
      <b/>
      <sz val="14"/>
      <color rgb="FFFF0000"/>
      <name val="Calibri"/>
      <family val="2"/>
      <scheme val="minor"/>
    </font>
    <font>
      <b/>
      <sz val="14"/>
      <color rgb="FF0088EE"/>
      <name val="Calibri"/>
      <family val="2"/>
      <scheme val="minor"/>
    </font>
    <font>
      <b/>
      <sz val="12"/>
      <color rgb="FF0088EE"/>
      <name val="Calibri"/>
      <family val="2"/>
      <scheme val="minor"/>
    </font>
    <font>
      <b/>
      <sz val="20"/>
      <color rgb="FFFF0000"/>
      <name val="Calibri"/>
      <family val="2"/>
      <scheme val="minor"/>
    </font>
    <font>
      <sz val="12"/>
      <color theme="1"/>
      <name val="Calibri"/>
      <family val="2"/>
    </font>
    <font>
      <sz val="11"/>
      <color rgb="FF1F497D"/>
      <name val="Calibri"/>
      <family val="2"/>
    </font>
    <font>
      <b/>
      <sz val="20"/>
      <color theme="1"/>
      <name val="Calibri"/>
      <family val="2"/>
      <scheme val="minor"/>
    </font>
    <font>
      <b/>
      <sz val="12"/>
      <color theme="0"/>
      <name val="Calibri"/>
      <family val="2"/>
      <scheme val="minor"/>
    </font>
    <font>
      <b/>
      <sz val="20"/>
      <color theme="0"/>
      <name val="Calibri Light"/>
      <family val="2"/>
      <scheme val="major"/>
    </font>
    <font>
      <b/>
      <sz val="12"/>
      <color theme="9" tint="-0.249977111117893"/>
      <name val="Calibri"/>
      <family val="2"/>
      <scheme val="minor"/>
    </font>
    <font>
      <sz val="11"/>
      <color rgb="FFFF0000"/>
      <name val="Calibri"/>
      <family val="2"/>
      <scheme val="minor"/>
    </font>
    <font>
      <sz val="11"/>
      <color theme="1"/>
      <name val="Calibri"/>
      <family val="2"/>
    </font>
    <font>
      <b/>
      <sz val="16"/>
      <color theme="7"/>
      <name val="Calibri"/>
      <family val="2"/>
      <scheme val="minor"/>
    </font>
    <font>
      <b/>
      <sz val="15"/>
      <color theme="1"/>
      <name val="Calibri"/>
      <family val="2"/>
      <scheme val="minor"/>
    </font>
    <font>
      <b/>
      <sz val="20"/>
      <color rgb="FF0088EE"/>
      <name val="Arial Black"/>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theme="2" tint="-9.9978637043366805E-2"/>
        <bgColor indexed="64"/>
      </patternFill>
    </fill>
  </fills>
  <borders count="37">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thin">
        <color auto="1"/>
      </right>
      <top style="thin">
        <color auto="1"/>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bottom/>
      <diagonal/>
    </border>
    <border>
      <left style="medium">
        <color auto="1"/>
      </left>
      <right style="thin">
        <color auto="1"/>
      </right>
      <top/>
      <bottom style="thin">
        <color auto="1"/>
      </bottom>
      <diagonal/>
    </border>
    <border>
      <left style="medium">
        <color auto="1"/>
      </left>
      <right style="thin">
        <color auto="1"/>
      </right>
      <top/>
      <bottom style="medium">
        <color indexed="64"/>
      </bottom>
      <diagonal/>
    </border>
    <border>
      <left style="medium">
        <color auto="1"/>
      </left>
      <right style="thin">
        <color auto="1"/>
      </right>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right/>
      <top/>
      <bottom style="medium">
        <color auto="1"/>
      </bottom>
      <diagonal/>
    </border>
    <border>
      <left style="medium">
        <color indexed="64"/>
      </left>
      <right/>
      <top/>
      <bottom style="thin">
        <color indexed="64"/>
      </bottom>
      <diagonal/>
    </border>
    <border>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diagonalUp="1" diagonalDown="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145">
    <xf numFmtId="0" fontId="0" fillId="0" borderId="0" xfId="0"/>
    <xf numFmtId="0" fontId="0" fillId="2" borderId="0" xfId="0" applyFill="1" applyProtection="1">
      <protection hidden="1"/>
    </xf>
    <xf numFmtId="0" fontId="8" fillId="2" borderId="0" xfId="0" applyFont="1" applyFill="1" applyProtection="1">
      <protection hidden="1"/>
    </xf>
    <xf numFmtId="2" fontId="6" fillId="2" borderId="1" xfId="0" applyNumberFormat="1" applyFont="1" applyFill="1" applyBorder="1" applyAlignment="1" applyProtection="1">
      <alignment vertical="top"/>
      <protection locked="0" hidden="1"/>
    </xf>
    <xf numFmtId="2" fontId="6" fillId="2" borderId="9" xfId="0" applyNumberFormat="1" applyFont="1" applyFill="1" applyBorder="1" applyAlignment="1" applyProtection="1">
      <alignment vertical="top"/>
      <protection locked="0" hidden="1"/>
    </xf>
    <xf numFmtId="2" fontId="0" fillId="2" borderId="0" xfId="0" applyNumberFormat="1" applyFill="1" applyProtection="1">
      <protection hidden="1"/>
    </xf>
    <xf numFmtId="0" fontId="0" fillId="2" borderId="0" xfId="0" applyFill="1" applyAlignment="1" applyProtection="1">
      <alignment wrapText="1"/>
      <protection hidden="1"/>
    </xf>
    <xf numFmtId="0" fontId="1" fillId="3" borderId="11" xfId="0" applyFont="1" applyFill="1" applyBorder="1" applyAlignment="1" applyProtection="1">
      <alignment vertical="top" wrapText="1"/>
      <protection hidden="1"/>
    </xf>
    <xf numFmtId="0" fontId="4" fillId="3" borderId="10" xfId="0" applyFont="1" applyFill="1" applyBorder="1" applyAlignment="1" applyProtection="1">
      <alignment horizontal="center" vertical="top" wrapText="1"/>
      <protection hidden="1"/>
    </xf>
    <xf numFmtId="0" fontId="4" fillId="3" borderId="5" xfId="0" applyFont="1" applyFill="1" applyBorder="1" applyAlignment="1" applyProtection="1">
      <alignment horizontal="center" vertical="top"/>
      <protection hidden="1"/>
    </xf>
    <xf numFmtId="0" fontId="2" fillId="3" borderId="11" xfId="0" quotePrefix="1" applyFont="1" applyFill="1" applyBorder="1" applyAlignment="1" applyProtection="1">
      <alignment horizontal="left" vertical="top" wrapText="1" indent="2"/>
      <protection hidden="1"/>
    </xf>
    <xf numFmtId="2" fontId="2" fillId="3" borderId="10" xfId="0" applyNumberFormat="1" applyFont="1" applyFill="1" applyBorder="1" applyAlignment="1" applyProtection="1">
      <alignment vertical="top"/>
      <protection hidden="1"/>
    </xf>
    <xf numFmtId="0" fontId="2" fillId="3" borderId="5" xfId="0" applyFont="1" applyFill="1" applyBorder="1" applyAlignment="1" applyProtection="1">
      <alignment vertical="top"/>
      <protection hidden="1"/>
    </xf>
    <xf numFmtId="0" fontId="2" fillId="3" borderId="20" xfId="0" quotePrefix="1" applyFont="1" applyFill="1" applyBorder="1" applyAlignment="1" applyProtection="1">
      <alignment horizontal="left" vertical="top" wrapText="1" indent="2"/>
      <protection hidden="1"/>
    </xf>
    <xf numFmtId="2" fontId="2" fillId="3" borderId="16" xfId="0" applyNumberFormat="1" applyFont="1" applyFill="1" applyBorder="1" applyAlignment="1" applyProtection="1">
      <alignment vertical="top"/>
      <protection hidden="1"/>
    </xf>
    <xf numFmtId="0" fontId="2" fillId="3" borderId="15" xfId="0" applyFont="1" applyFill="1" applyBorder="1" applyAlignment="1" applyProtection="1">
      <alignment vertical="top"/>
      <protection hidden="1"/>
    </xf>
    <xf numFmtId="0" fontId="4" fillId="3" borderId="11" xfId="0" quotePrefix="1" applyFont="1" applyFill="1" applyBorder="1" applyAlignment="1" applyProtection="1">
      <alignment vertical="top" wrapText="1"/>
      <protection hidden="1"/>
    </xf>
    <xf numFmtId="2" fontId="2" fillId="3" borderId="10" xfId="0" applyNumberFormat="1" applyFont="1" applyFill="1" applyBorder="1" applyAlignment="1" applyProtection="1">
      <alignment horizontal="right" vertical="top" wrapText="1"/>
      <protection hidden="1"/>
    </xf>
    <xf numFmtId="2" fontId="2" fillId="3" borderId="16" xfId="0" quotePrefix="1" applyNumberFormat="1" applyFont="1" applyFill="1" applyBorder="1" applyAlignment="1" applyProtection="1">
      <alignment horizontal="right" vertical="top" wrapText="1"/>
      <protection hidden="1"/>
    </xf>
    <xf numFmtId="0" fontId="4" fillId="3" borderId="11" xfId="0" quotePrefix="1" applyFont="1" applyFill="1" applyBorder="1" applyAlignment="1" applyProtection="1">
      <alignment horizontal="left" vertical="top" wrapText="1"/>
      <protection hidden="1"/>
    </xf>
    <xf numFmtId="0" fontId="2" fillId="3" borderId="14" xfId="0" quotePrefix="1" applyFont="1" applyFill="1" applyBorder="1" applyAlignment="1" applyProtection="1">
      <alignment horizontal="left" vertical="top" wrapText="1" indent="2"/>
      <protection hidden="1"/>
    </xf>
    <xf numFmtId="0" fontId="2" fillId="3" borderId="12" xfId="0" quotePrefix="1" applyFont="1" applyFill="1" applyBorder="1" applyAlignment="1" applyProtection="1">
      <alignment horizontal="left" vertical="top" wrapText="1" indent="2"/>
      <protection hidden="1"/>
    </xf>
    <xf numFmtId="0" fontId="4" fillId="3" borderId="14" xfId="0" quotePrefix="1" applyFont="1" applyFill="1" applyBorder="1" applyAlignment="1" applyProtection="1">
      <alignment horizontal="left" vertical="top" wrapText="1"/>
      <protection hidden="1"/>
    </xf>
    <xf numFmtId="0" fontId="4" fillId="3" borderId="5" xfId="0" applyFont="1" applyFill="1" applyBorder="1" applyAlignment="1" applyProtection="1">
      <protection hidden="1"/>
    </xf>
    <xf numFmtId="0" fontId="2" fillId="3" borderId="7" xfId="0" applyFont="1" applyFill="1" applyBorder="1" applyAlignment="1" applyProtection="1">
      <alignment vertical="top"/>
      <protection hidden="1"/>
    </xf>
    <xf numFmtId="2" fontId="6" fillId="3" borderId="10" xfId="0" applyNumberFormat="1" applyFont="1" applyFill="1" applyBorder="1" applyAlignment="1" applyProtection="1">
      <alignment vertical="top"/>
      <protection hidden="1"/>
    </xf>
    <xf numFmtId="2" fontId="4" fillId="3" borderId="10" xfId="0" applyNumberFormat="1" applyFont="1" applyFill="1" applyBorder="1" applyAlignment="1" applyProtection="1">
      <protection hidden="1"/>
    </xf>
    <xf numFmtId="0" fontId="0" fillId="3" borderId="10" xfId="0" quotePrefix="1" applyFill="1" applyBorder="1" applyAlignment="1" applyProtection="1">
      <alignment vertical="top"/>
      <protection hidden="1"/>
    </xf>
    <xf numFmtId="0" fontId="0" fillId="3" borderId="17" xfId="0" quotePrefix="1" applyFill="1" applyBorder="1" applyAlignment="1" applyProtection="1">
      <alignment vertical="top"/>
      <protection hidden="1"/>
    </xf>
    <xf numFmtId="0" fontId="4" fillId="3" borderId="6" xfId="0" quotePrefix="1" applyFont="1" applyFill="1" applyBorder="1" applyAlignment="1" applyProtection="1">
      <alignment horizontal="left" vertical="top" wrapText="1"/>
      <protection hidden="1"/>
    </xf>
    <xf numFmtId="2" fontId="6" fillId="3" borderId="8" xfId="0" applyNumberFormat="1" applyFont="1" applyFill="1" applyBorder="1" applyAlignment="1" applyProtection="1">
      <alignment vertical="top"/>
      <protection hidden="1"/>
    </xf>
    <xf numFmtId="0" fontId="2" fillId="3" borderId="21" xfId="0" applyFont="1" applyFill="1" applyBorder="1" applyAlignment="1" applyProtection="1">
      <alignment vertical="top"/>
      <protection hidden="1"/>
    </xf>
    <xf numFmtId="2" fontId="2" fillId="3" borderId="16" xfId="0" applyNumberFormat="1" applyFont="1" applyFill="1" applyBorder="1" applyAlignment="1" applyProtection="1">
      <alignment horizontal="right" vertical="top" wrapText="1"/>
      <protection hidden="1"/>
    </xf>
    <xf numFmtId="0" fontId="2" fillId="3" borderId="18" xfId="0" applyFont="1" applyFill="1" applyBorder="1" applyAlignment="1" applyProtection="1">
      <alignment vertical="top" wrapText="1"/>
      <protection hidden="1"/>
    </xf>
    <xf numFmtId="0" fontId="4" fillId="3" borderId="5" xfId="0" applyFont="1" applyFill="1" applyBorder="1" applyAlignment="1" applyProtection="1">
      <alignment vertical="top"/>
      <protection hidden="1"/>
    </xf>
    <xf numFmtId="2" fontId="4" fillId="3" borderId="10" xfId="0" applyNumberFormat="1" applyFont="1" applyFill="1" applyBorder="1" applyAlignment="1" applyProtection="1">
      <alignment vertical="top"/>
      <protection hidden="1"/>
    </xf>
    <xf numFmtId="0" fontId="5" fillId="4" borderId="19" xfId="0" applyFont="1" applyFill="1" applyBorder="1" applyAlignment="1" applyProtection="1">
      <alignment horizontal="center" vertical="top" wrapText="1"/>
      <protection hidden="1"/>
    </xf>
    <xf numFmtId="0" fontId="11" fillId="4" borderId="0" xfId="0" applyFont="1" applyFill="1" applyBorder="1" applyAlignment="1" applyProtection="1">
      <alignment horizontal="center" vertical="center" wrapText="1"/>
      <protection hidden="1"/>
    </xf>
    <xf numFmtId="0" fontId="12" fillId="4" borderId="0" xfId="0" applyFont="1" applyFill="1" applyBorder="1" applyAlignment="1" applyProtection="1">
      <alignment horizontal="right"/>
      <protection hidden="1"/>
    </xf>
    <xf numFmtId="0" fontId="0" fillId="4" borderId="22" xfId="0" applyFill="1" applyBorder="1" applyProtection="1">
      <protection hidden="1"/>
    </xf>
    <xf numFmtId="0" fontId="0" fillId="4" borderId="24" xfId="0" applyFill="1" applyBorder="1" applyProtection="1">
      <protection hidden="1"/>
    </xf>
    <xf numFmtId="0" fontId="0" fillId="4" borderId="11" xfId="0" applyFill="1" applyBorder="1" applyProtection="1">
      <protection hidden="1"/>
    </xf>
    <xf numFmtId="0" fontId="0" fillId="4" borderId="5" xfId="0" applyFill="1" applyBorder="1" applyProtection="1">
      <protection hidden="1"/>
    </xf>
    <xf numFmtId="0" fontId="0" fillId="4" borderId="25" xfId="0" applyFill="1" applyBorder="1" applyProtection="1">
      <protection hidden="1"/>
    </xf>
    <xf numFmtId="0" fontId="0" fillId="4" borderId="19" xfId="0" applyFill="1" applyBorder="1" applyAlignment="1" applyProtection="1">
      <alignment wrapText="1"/>
      <protection hidden="1"/>
    </xf>
    <xf numFmtId="0" fontId="0" fillId="4" borderId="19" xfId="0" applyFill="1" applyBorder="1" applyProtection="1">
      <protection hidden="1"/>
    </xf>
    <xf numFmtId="0" fontId="0" fillId="4" borderId="7" xfId="0" applyFill="1" applyBorder="1" applyProtection="1">
      <protection hidden="1"/>
    </xf>
    <xf numFmtId="0" fontId="0" fillId="4" borderId="0" xfId="0" applyFill="1" applyBorder="1" applyAlignment="1" applyProtection="1">
      <alignment vertical="top" wrapText="1"/>
      <protection hidden="1"/>
    </xf>
    <xf numFmtId="0" fontId="0" fillId="4" borderId="0" xfId="0" applyFill="1" applyBorder="1" applyAlignment="1" applyProtection="1">
      <alignment vertical="top"/>
      <protection hidden="1"/>
    </xf>
    <xf numFmtId="0" fontId="1" fillId="2" borderId="0" xfId="0" applyFont="1" applyFill="1" applyAlignment="1" applyProtection="1">
      <alignment horizontal="center" vertical="top" wrapText="1"/>
      <protection hidden="1"/>
    </xf>
    <xf numFmtId="0" fontId="1" fillId="5" borderId="0" xfId="0" applyFont="1" applyFill="1" applyAlignment="1" applyProtection="1">
      <alignment horizontal="center" vertical="top" wrapText="1"/>
      <protection hidden="1"/>
    </xf>
    <xf numFmtId="0" fontId="1" fillId="2" borderId="0" xfId="0" applyFont="1" applyFill="1" applyAlignment="1" applyProtection="1">
      <alignment vertical="top" wrapText="1"/>
      <protection hidden="1"/>
    </xf>
    <xf numFmtId="0" fontId="0" fillId="2" borderId="0" xfId="0" applyFill="1" applyAlignment="1" applyProtection="1">
      <alignment vertical="top" wrapText="1"/>
      <protection hidden="1"/>
    </xf>
    <xf numFmtId="0" fontId="0" fillId="2" borderId="26" xfId="0" applyFill="1" applyBorder="1" applyAlignment="1" applyProtection="1">
      <alignment vertical="top" wrapText="1"/>
      <protection hidden="1"/>
    </xf>
    <xf numFmtId="0" fontId="0" fillId="2" borderId="28" xfId="0" applyFill="1" applyBorder="1" applyAlignment="1" applyProtection="1">
      <alignment vertical="top" wrapText="1"/>
      <protection hidden="1"/>
    </xf>
    <xf numFmtId="0" fontId="0" fillId="2" borderId="27" xfId="0" applyFill="1" applyBorder="1" applyAlignment="1" applyProtection="1">
      <alignment vertical="top" wrapText="1"/>
      <protection hidden="1"/>
    </xf>
    <xf numFmtId="0" fontId="14" fillId="4" borderId="0" xfId="0" applyFont="1" applyFill="1" applyBorder="1" applyAlignment="1" applyProtection="1">
      <alignment horizontal="left"/>
      <protection hidden="1"/>
    </xf>
    <xf numFmtId="0" fontId="14" fillId="4" borderId="0" xfId="0" applyFont="1" applyFill="1" applyBorder="1" applyAlignment="1" applyProtection="1">
      <alignment horizontal="right"/>
      <protection hidden="1"/>
    </xf>
    <xf numFmtId="0" fontId="0" fillId="5" borderId="0" xfId="0" applyFill="1" applyAlignment="1" applyProtection="1">
      <alignment vertical="top"/>
      <protection hidden="1"/>
    </xf>
    <xf numFmtId="0" fontId="0" fillId="2" borderId="0" xfId="0" applyFill="1" applyAlignment="1" applyProtection="1">
      <alignment vertical="top"/>
      <protection hidden="1"/>
    </xf>
    <xf numFmtId="0" fontId="0" fillId="2" borderId="1" xfId="0" applyFill="1" applyBorder="1" applyAlignment="1" applyProtection="1">
      <alignment vertical="top"/>
      <protection hidden="1"/>
    </xf>
    <xf numFmtId="0" fontId="0" fillId="5" borderId="1" xfId="0" applyFill="1" applyBorder="1" applyAlignment="1" applyProtection="1">
      <alignment vertical="top"/>
      <protection hidden="1"/>
    </xf>
    <xf numFmtId="4" fontId="0" fillId="5" borderId="1" xfId="0" applyNumberFormat="1" applyFill="1" applyBorder="1" applyAlignment="1" applyProtection="1">
      <alignment vertical="top"/>
      <protection hidden="1"/>
    </xf>
    <xf numFmtId="0" fontId="0" fillId="0" borderId="34" xfId="0" applyFill="1" applyBorder="1" applyAlignment="1" applyProtection="1">
      <alignment vertical="top"/>
      <protection hidden="1"/>
    </xf>
    <xf numFmtId="2" fontId="0" fillId="2" borderId="0" xfId="0" applyNumberFormat="1" applyFill="1" applyBorder="1" applyAlignment="1" applyProtection="1">
      <alignment vertical="top"/>
      <protection hidden="1"/>
    </xf>
    <xf numFmtId="0" fontId="0" fillId="2" borderId="8" xfId="0" applyFill="1" applyBorder="1" applyAlignment="1" applyProtection="1">
      <alignment vertical="top"/>
      <protection hidden="1"/>
    </xf>
    <xf numFmtId="0" fontId="0" fillId="2" borderId="29" xfId="0" applyFill="1" applyBorder="1" applyAlignment="1" applyProtection="1">
      <alignment vertical="top"/>
      <protection hidden="1"/>
    </xf>
    <xf numFmtId="0" fontId="0" fillId="2" borderId="30" xfId="0" applyFill="1" applyBorder="1" applyAlignment="1" applyProtection="1">
      <alignment vertical="top"/>
      <protection hidden="1"/>
    </xf>
    <xf numFmtId="0" fontId="0" fillId="2" borderId="0" xfId="0" applyFill="1" applyBorder="1" applyAlignment="1" applyProtection="1">
      <alignment vertical="top"/>
      <protection hidden="1"/>
    </xf>
    <xf numFmtId="0" fontId="0" fillId="2" borderId="10" xfId="0" applyFill="1" applyBorder="1" applyAlignment="1" applyProtection="1">
      <alignment vertical="top"/>
      <protection hidden="1"/>
    </xf>
    <xf numFmtId="0" fontId="0" fillId="2" borderId="31" xfId="0" applyFill="1" applyBorder="1" applyAlignment="1" applyProtection="1">
      <alignment vertical="top"/>
      <protection hidden="1"/>
    </xf>
    <xf numFmtId="0" fontId="0" fillId="2" borderId="16" xfId="0" applyFill="1" applyBorder="1" applyAlignment="1" applyProtection="1">
      <alignment vertical="top"/>
      <protection hidden="1"/>
    </xf>
    <xf numFmtId="0" fontId="0" fillId="2" borderId="32" xfId="0" applyFill="1" applyBorder="1" applyAlignment="1" applyProtection="1">
      <alignment vertical="top"/>
      <protection hidden="1"/>
    </xf>
    <xf numFmtId="0" fontId="0" fillId="2" borderId="33" xfId="0" applyFill="1" applyBorder="1" applyAlignment="1" applyProtection="1">
      <alignment vertical="top"/>
      <protection hidden="1"/>
    </xf>
    <xf numFmtId="0" fontId="8" fillId="2" borderId="0" xfId="0" applyFont="1" applyFill="1" applyAlignment="1" applyProtection="1">
      <alignment vertical="top"/>
      <protection hidden="1"/>
    </xf>
    <xf numFmtId="4" fontId="0" fillId="2" borderId="0" xfId="0" applyNumberFormat="1" applyFill="1" applyAlignment="1" applyProtection="1">
      <alignment vertical="top"/>
      <protection hidden="1"/>
    </xf>
    <xf numFmtId="0" fontId="0" fillId="5" borderId="0" xfId="0" applyFill="1" applyAlignment="1">
      <alignment vertical="top"/>
    </xf>
    <xf numFmtId="4" fontId="0" fillId="5" borderId="0" xfId="0" applyNumberFormat="1" applyFill="1" applyAlignment="1" applyProtection="1">
      <alignment vertical="top"/>
      <protection hidden="1"/>
    </xf>
    <xf numFmtId="0" fontId="9" fillId="2" borderId="0" xfId="0" applyFont="1" applyFill="1" applyAlignment="1" applyProtection="1">
      <alignment vertical="top"/>
      <protection hidden="1"/>
    </xf>
    <xf numFmtId="2" fontId="0" fillId="2" borderId="0" xfId="0" applyNumberFormat="1" applyFill="1" applyAlignment="1" applyProtection="1">
      <alignment vertical="top"/>
      <protection hidden="1"/>
    </xf>
    <xf numFmtId="0" fontId="8" fillId="2" borderId="0" xfId="0" applyFont="1" applyFill="1" applyBorder="1" applyAlignment="1" applyProtection="1">
      <alignment vertical="top"/>
      <protection hidden="1"/>
    </xf>
    <xf numFmtId="0" fontId="10" fillId="0" borderId="0" xfId="0" applyFont="1" applyBorder="1" applyAlignment="1" applyProtection="1">
      <alignment vertical="top" wrapText="1"/>
      <protection hidden="1"/>
    </xf>
    <xf numFmtId="0" fontId="0" fillId="6" borderId="0" xfId="0" applyFill="1" applyProtection="1">
      <protection hidden="1"/>
    </xf>
    <xf numFmtId="0" fontId="0" fillId="6" borderId="0" xfId="0" applyFill="1" applyAlignment="1" applyProtection="1">
      <protection hidden="1"/>
    </xf>
    <xf numFmtId="0" fontId="0" fillId="6" borderId="0" xfId="0" applyFill="1"/>
    <xf numFmtId="0" fontId="0" fillId="2" borderId="0" xfId="0" applyFont="1" applyFill="1"/>
    <xf numFmtId="0" fontId="0" fillId="2" borderId="35" xfId="0" applyFill="1" applyBorder="1" applyAlignment="1" applyProtection="1">
      <alignment vertical="top"/>
      <protection hidden="1"/>
    </xf>
    <xf numFmtId="0" fontId="0" fillId="2" borderId="36" xfId="0" applyFill="1" applyBorder="1" applyAlignment="1" applyProtection="1">
      <alignment vertical="top"/>
      <protection hidden="1"/>
    </xf>
    <xf numFmtId="0" fontId="0" fillId="2" borderId="9" xfId="0" applyFill="1" applyBorder="1" applyAlignment="1" applyProtection="1">
      <alignment vertical="top"/>
      <protection hidden="1"/>
    </xf>
    <xf numFmtId="0" fontId="0" fillId="2" borderId="30" xfId="0" applyFill="1" applyBorder="1" applyProtection="1">
      <protection hidden="1"/>
    </xf>
    <xf numFmtId="0" fontId="0" fillId="2" borderId="33" xfId="0" applyFill="1" applyBorder="1" applyProtection="1">
      <protection hidden="1"/>
    </xf>
    <xf numFmtId="0" fontId="1" fillId="2" borderId="8" xfId="0" applyFont="1" applyFill="1" applyBorder="1" applyAlignment="1" applyProtection="1">
      <alignment horizontal="center"/>
      <protection hidden="1"/>
    </xf>
    <xf numFmtId="0" fontId="1" fillId="2" borderId="29" xfId="0" applyFont="1" applyFill="1" applyBorder="1" applyAlignment="1" applyProtection="1">
      <alignment horizontal="center"/>
      <protection hidden="1"/>
    </xf>
    <xf numFmtId="0" fontId="1" fillId="2" borderId="30" xfId="0" applyFont="1" applyFill="1" applyBorder="1" applyAlignment="1" applyProtection="1">
      <alignment horizontal="center"/>
      <protection hidden="1"/>
    </xf>
    <xf numFmtId="0" fontId="0" fillId="2" borderId="0" xfId="0" applyFill="1" applyBorder="1" applyProtection="1">
      <protection hidden="1"/>
    </xf>
    <xf numFmtId="0" fontId="0" fillId="2" borderId="10" xfId="0" applyFill="1" applyBorder="1" applyAlignment="1" applyProtection="1">
      <alignment vertical="center"/>
      <protection hidden="1"/>
    </xf>
    <xf numFmtId="0" fontId="0" fillId="2" borderId="0" xfId="0" quotePrefix="1" applyFill="1" applyBorder="1" applyAlignment="1" applyProtection="1">
      <alignment vertical="center"/>
      <protection hidden="1"/>
    </xf>
    <xf numFmtId="0" fontId="0" fillId="2" borderId="31" xfId="0" quotePrefix="1" applyFill="1" applyBorder="1" applyAlignment="1" applyProtection="1">
      <alignment vertical="center"/>
      <protection hidden="1"/>
    </xf>
    <xf numFmtId="0" fontId="0" fillId="2" borderId="10" xfId="0" applyFill="1" applyBorder="1" applyProtection="1">
      <protection hidden="1"/>
    </xf>
    <xf numFmtId="0" fontId="0" fillId="2" borderId="31" xfId="0" applyFill="1" applyBorder="1" applyProtection="1">
      <protection hidden="1"/>
    </xf>
    <xf numFmtId="0" fontId="0" fillId="2" borderId="10" xfId="0" applyFill="1" applyBorder="1" applyAlignment="1" applyProtection="1">
      <alignment horizontal="left" vertical="center"/>
      <protection hidden="1"/>
    </xf>
    <xf numFmtId="0" fontId="0" fillId="2" borderId="0" xfId="0" applyFill="1" applyBorder="1" applyAlignment="1" applyProtection="1">
      <alignment horizontal="left" vertical="center"/>
      <protection hidden="1"/>
    </xf>
    <xf numFmtId="0" fontId="0" fillId="2" borderId="31" xfId="0" applyFill="1" applyBorder="1" applyAlignment="1" applyProtection="1">
      <alignment horizontal="left" vertical="center"/>
      <protection hidden="1"/>
    </xf>
    <xf numFmtId="0" fontId="0" fillId="2" borderId="16" xfId="0" applyFill="1" applyBorder="1" applyProtection="1">
      <protection hidden="1"/>
    </xf>
    <xf numFmtId="0" fontId="0" fillId="2" borderId="32" xfId="0" applyFill="1" applyBorder="1" applyProtection="1">
      <protection hidden="1"/>
    </xf>
    <xf numFmtId="0" fontId="0" fillId="2" borderId="30" xfId="0" applyFill="1" applyBorder="1" applyAlignment="1" applyProtection="1">
      <alignment horizontal="center" vertical="top"/>
      <protection hidden="1"/>
    </xf>
    <xf numFmtId="0" fontId="0" fillId="2" borderId="31" xfId="0" applyFill="1" applyBorder="1" applyAlignment="1" applyProtection="1">
      <alignment horizontal="center" vertical="top"/>
      <protection hidden="1"/>
    </xf>
    <xf numFmtId="0" fontId="0" fillId="2" borderId="33" xfId="0" applyFill="1" applyBorder="1" applyAlignment="1" applyProtection="1">
      <alignment horizontal="center" vertical="top"/>
      <protection hidden="1"/>
    </xf>
    <xf numFmtId="0" fontId="0" fillId="3" borderId="22" xfId="0" applyFill="1" applyBorder="1" applyProtection="1">
      <protection hidden="1"/>
    </xf>
    <xf numFmtId="0" fontId="0" fillId="3" borderId="23" xfId="0" applyFill="1" applyBorder="1" applyAlignment="1" applyProtection="1">
      <alignment wrapText="1"/>
      <protection hidden="1"/>
    </xf>
    <xf numFmtId="0" fontId="0" fillId="3" borderId="23" xfId="0" applyFill="1" applyBorder="1" applyProtection="1">
      <protection hidden="1"/>
    </xf>
    <xf numFmtId="0" fontId="0" fillId="3" borderId="24" xfId="0" applyFill="1" applyBorder="1" applyProtection="1">
      <protection hidden="1"/>
    </xf>
    <xf numFmtId="0" fontId="0" fillId="3" borderId="11" xfId="0" applyFill="1" applyBorder="1" applyProtection="1">
      <protection hidden="1"/>
    </xf>
    <xf numFmtId="0" fontId="0" fillId="3" borderId="0" xfId="0" applyFill="1" applyBorder="1" applyProtection="1">
      <protection hidden="1"/>
    </xf>
    <xf numFmtId="0" fontId="0" fillId="3" borderId="25" xfId="0" applyFill="1" applyBorder="1" applyProtection="1">
      <protection hidden="1"/>
    </xf>
    <xf numFmtId="0" fontId="0" fillId="3" borderId="19" xfId="0" applyFill="1" applyBorder="1" applyAlignment="1" applyProtection="1">
      <alignment wrapText="1"/>
      <protection hidden="1"/>
    </xf>
    <xf numFmtId="0" fontId="0" fillId="3" borderId="19" xfId="0" applyFill="1" applyBorder="1" applyProtection="1">
      <protection hidden="1"/>
    </xf>
    <xf numFmtId="0" fontId="0" fillId="3" borderId="7" xfId="0" applyFill="1" applyBorder="1" applyProtection="1">
      <protection hidden="1"/>
    </xf>
    <xf numFmtId="0" fontId="0" fillId="2" borderId="33" xfId="0" applyFont="1" applyFill="1" applyBorder="1" applyAlignment="1">
      <alignment vertical="top"/>
    </xf>
    <xf numFmtId="0" fontId="0" fillId="2" borderId="8" xfId="0" applyFill="1" applyBorder="1" applyProtection="1">
      <protection hidden="1"/>
    </xf>
    <xf numFmtId="0" fontId="0" fillId="2" borderId="0" xfId="0" quotePrefix="1" applyFill="1" applyBorder="1" applyAlignment="1" applyProtection="1">
      <alignment horizontal="left" vertical="center"/>
      <protection hidden="1"/>
    </xf>
    <xf numFmtId="0" fontId="18" fillId="3" borderId="0" xfId="0" applyFont="1" applyFill="1" applyBorder="1" applyAlignment="1" applyProtection="1">
      <alignment vertical="center"/>
      <protection hidden="1"/>
    </xf>
    <xf numFmtId="0" fontId="0" fillId="2" borderId="26" xfId="0" applyFill="1" applyBorder="1" applyAlignment="1" applyProtection="1">
      <alignment vertical="top"/>
      <protection hidden="1"/>
    </xf>
    <xf numFmtId="0" fontId="0" fillId="2" borderId="27" xfId="0" applyFill="1" applyBorder="1" applyAlignment="1" applyProtection="1">
      <alignment vertical="top"/>
      <protection hidden="1"/>
    </xf>
    <xf numFmtId="4" fontId="0" fillId="2" borderId="27" xfId="0" applyNumberFormat="1" applyFill="1" applyBorder="1" applyAlignment="1" applyProtection="1">
      <alignment vertical="top"/>
      <protection hidden="1"/>
    </xf>
    <xf numFmtId="0" fontId="0" fillId="2" borderId="28" xfId="0" applyFill="1" applyBorder="1" applyAlignment="1" applyProtection="1">
      <alignment vertical="top"/>
      <protection hidden="1"/>
    </xf>
    <xf numFmtId="0" fontId="0" fillId="2" borderId="26" xfId="0" applyFont="1" applyFill="1" applyBorder="1"/>
    <xf numFmtId="0" fontId="0" fillId="2" borderId="28" xfId="0" applyFill="1" applyBorder="1" applyProtection="1">
      <protection hidden="1"/>
    </xf>
    <xf numFmtId="0" fontId="1" fillId="2" borderId="0" xfId="0" applyFont="1" applyFill="1" applyProtection="1">
      <protection hidden="1"/>
    </xf>
    <xf numFmtId="0" fontId="15" fillId="2" borderId="0" xfId="0" applyFont="1" applyFill="1" applyAlignment="1" applyProtection="1">
      <alignment wrapText="1"/>
      <protection hidden="1"/>
    </xf>
    <xf numFmtId="0" fontId="0" fillId="2" borderId="30" xfId="0" applyFill="1" applyBorder="1" applyAlignment="1" applyProtection="1">
      <alignment horizontal="left" vertical="top"/>
      <protection hidden="1"/>
    </xf>
    <xf numFmtId="0" fontId="0" fillId="2" borderId="31" xfId="0" applyFill="1" applyBorder="1" applyAlignment="1" applyProtection="1">
      <alignment horizontal="left" vertical="top"/>
      <protection hidden="1"/>
    </xf>
    <xf numFmtId="0" fontId="0" fillId="2" borderId="31" xfId="0" quotePrefix="1" applyFill="1" applyBorder="1" applyAlignment="1" applyProtection="1">
      <alignment vertical="top"/>
      <protection hidden="1"/>
    </xf>
    <xf numFmtId="0" fontId="0" fillId="2" borderId="33" xfId="0" quotePrefix="1" applyFill="1" applyBorder="1" applyAlignment="1" applyProtection="1">
      <alignment vertical="top"/>
      <protection hidden="1"/>
    </xf>
    <xf numFmtId="0" fontId="7" fillId="2" borderId="1" xfId="0" applyFont="1" applyFill="1" applyBorder="1" applyAlignment="1" applyProtection="1">
      <alignment horizontal="left"/>
      <protection locked="0" hidden="1"/>
    </xf>
    <xf numFmtId="0" fontId="2" fillId="3" borderId="14" xfId="0" applyFont="1" applyFill="1" applyBorder="1" applyAlignment="1" applyProtection="1">
      <alignment horizontal="left" vertical="center" wrapText="1" indent="2"/>
      <protection hidden="1"/>
    </xf>
    <xf numFmtId="0" fontId="2" fillId="3" borderId="13" xfId="0" applyFont="1" applyFill="1" applyBorder="1" applyAlignment="1" applyProtection="1">
      <alignment horizontal="left" vertical="center" wrapText="1" indent="2"/>
      <protection hidden="1"/>
    </xf>
    <xf numFmtId="0" fontId="13" fillId="4" borderId="23" xfId="0" applyFont="1" applyFill="1" applyBorder="1" applyAlignment="1" applyProtection="1">
      <alignment horizontal="center" vertical="center" wrapText="1"/>
      <protection hidden="1"/>
    </xf>
    <xf numFmtId="0" fontId="17" fillId="4" borderId="0" xfId="0" applyFont="1" applyFill="1" applyBorder="1" applyAlignment="1" applyProtection="1">
      <alignment horizontal="center" vertical="top" wrapText="1"/>
      <protection hidden="1"/>
    </xf>
    <xf numFmtId="0" fontId="1" fillId="3" borderId="0" xfId="0" applyFont="1" applyFill="1" applyBorder="1" applyAlignment="1" applyProtection="1">
      <alignment horizontal="left" vertical="center" wrapText="1"/>
      <protection hidden="1"/>
    </xf>
    <xf numFmtId="0" fontId="12" fillId="4" borderId="2" xfId="0" applyFont="1" applyFill="1" applyBorder="1" applyAlignment="1" applyProtection="1">
      <alignment horizontal="left" vertical="top" wrapText="1"/>
      <protection hidden="1"/>
    </xf>
    <xf numFmtId="0" fontId="12" fillId="4" borderId="3" xfId="0" applyFont="1" applyFill="1" applyBorder="1" applyAlignment="1" applyProtection="1">
      <alignment horizontal="left" vertical="top" wrapText="1"/>
      <protection hidden="1"/>
    </xf>
    <xf numFmtId="0" fontId="12" fillId="4" borderId="4" xfId="0" applyFont="1" applyFill="1" applyBorder="1" applyAlignment="1" applyProtection="1">
      <alignment horizontal="left" vertical="top" wrapText="1"/>
      <protection hidden="1"/>
    </xf>
    <xf numFmtId="0" fontId="19" fillId="2" borderId="1" xfId="0" applyFont="1" applyFill="1" applyBorder="1" applyAlignment="1" applyProtection="1">
      <alignment horizontal="center" vertical="center"/>
      <protection locked="0" hidden="1"/>
    </xf>
    <xf numFmtId="0" fontId="0" fillId="3" borderId="18" xfId="0" applyFill="1" applyBorder="1" applyProtection="1">
      <protection hidden="1"/>
    </xf>
  </cellXfs>
  <cellStyles count="2">
    <cellStyle name="Normal" xfId="0" builtinId="0"/>
    <cellStyle name="Normal 2" xfId="1"/>
  </cellStyles>
  <dxfs count="1">
    <dxf>
      <font>
        <color theme="9" tint="0.59996337778862885"/>
      </font>
      <fill>
        <patternFill>
          <bgColor theme="9" tint="0.59996337778862885"/>
        </patternFill>
      </fill>
      <border>
        <right/>
        <top style="thin">
          <color auto="1"/>
        </top>
        <vertical/>
        <horizontal/>
      </border>
    </dxf>
  </dxfs>
  <tableStyles count="0" defaultTableStyle="TableStyleMedium2" defaultPivotStyle="PivotStyleLight16"/>
  <colors>
    <mruColors>
      <color rgb="FF0088EE"/>
      <color rgb="FFF6F9FC"/>
      <color rgb="FF71C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3</xdr:row>
      <xdr:rowOff>99037</xdr:rowOff>
    </xdr:from>
    <xdr:to>
      <xdr:col>1</xdr:col>
      <xdr:colOff>492162</xdr:colOff>
      <xdr:row>4</xdr:row>
      <xdr:rowOff>47626</xdr:rowOff>
    </xdr:to>
    <xdr:pic>
      <xdr:nvPicPr>
        <xdr:cNvPr id="2" name="Picture 1" descr="X:\Brand\_Brand_Management\Brand_Strategy\_FINALS\_Collateral\Letterhead_NEW_201403\FBM_INT_VERT_RGB_POS.emf"/>
        <xdr:cNvPicPr>
          <a:picLocks noChangeAspect="1"/>
        </xdr:cNvPicPr>
      </xdr:nvPicPr>
      <xdr:blipFill>
        <a:blip xmlns:r="http://schemas.openxmlformats.org/officeDocument/2006/relationships" r:embed="rId1" cstate="print"/>
        <a:srcRect/>
        <a:stretch>
          <a:fillRect/>
        </a:stretch>
      </xdr:blipFill>
      <xdr:spPr bwMode="auto">
        <a:xfrm>
          <a:off x="228600" y="99037"/>
          <a:ext cx="501687" cy="577238"/>
        </a:xfrm>
        <a:prstGeom prst="rect">
          <a:avLst/>
        </a:prstGeom>
        <a:noFill/>
        <a:ln w="9525">
          <a:noFill/>
          <a:miter lim="800000"/>
          <a:headEnd/>
          <a:tailEnd/>
        </a:ln>
      </xdr:spPr>
    </xdr:pic>
    <xdr:clientData/>
  </xdr:twoCellAnchor>
  <xdr:twoCellAnchor editAs="oneCell">
    <xdr:from>
      <xdr:col>2</xdr:col>
      <xdr:colOff>396240</xdr:colOff>
      <xdr:row>1</xdr:row>
      <xdr:rowOff>259080</xdr:rowOff>
    </xdr:from>
    <xdr:to>
      <xdr:col>2</xdr:col>
      <xdr:colOff>710176</xdr:colOff>
      <xdr:row>1</xdr:row>
      <xdr:rowOff>451116</xdr:rowOff>
    </xdr:to>
    <xdr:pic>
      <xdr:nvPicPr>
        <xdr:cNvPr id="4" name="Picture 3"/>
        <xdr:cNvPicPr>
          <a:picLocks noChangeAspect="1"/>
        </xdr:cNvPicPr>
      </xdr:nvPicPr>
      <xdr:blipFill rotWithShape="1">
        <a:blip xmlns:r="http://schemas.openxmlformats.org/officeDocument/2006/relationships" r:embed="rId2"/>
        <a:srcRect l="79558" t="4312" r="3191" b="82752"/>
        <a:stretch/>
      </xdr:blipFill>
      <xdr:spPr>
        <a:xfrm>
          <a:off x="5996940" y="335280"/>
          <a:ext cx="313936" cy="192036"/>
        </a:xfrm>
        <a:prstGeom prst="rect">
          <a:avLst/>
        </a:prstGeom>
      </xdr:spPr>
    </xdr:pic>
    <xdr:clientData/>
  </xdr:twoCellAnchor>
  <xdr:twoCellAnchor editAs="oneCell">
    <xdr:from>
      <xdr:col>2</xdr:col>
      <xdr:colOff>762000</xdr:colOff>
      <xdr:row>0</xdr:row>
      <xdr:rowOff>68580</xdr:rowOff>
    </xdr:from>
    <xdr:to>
      <xdr:col>2</xdr:col>
      <xdr:colOff>1075936</xdr:colOff>
      <xdr:row>1</xdr:row>
      <xdr:rowOff>184416</xdr:rowOff>
    </xdr:to>
    <xdr:pic>
      <xdr:nvPicPr>
        <xdr:cNvPr id="5" name="Picture 4"/>
        <xdr:cNvPicPr>
          <a:picLocks noChangeAspect="1"/>
        </xdr:cNvPicPr>
      </xdr:nvPicPr>
      <xdr:blipFill rotWithShape="1">
        <a:blip xmlns:r="http://schemas.openxmlformats.org/officeDocument/2006/relationships" r:embed="rId2"/>
        <a:srcRect l="2515" t="29979" r="80234" b="57085"/>
        <a:stretch/>
      </xdr:blipFill>
      <xdr:spPr>
        <a:xfrm>
          <a:off x="6362700" y="68580"/>
          <a:ext cx="313936" cy="192036"/>
        </a:xfrm>
        <a:prstGeom prst="rect">
          <a:avLst/>
        </a:prstGeom>
      </xdr:spPr>
    </xdr:pic>
    <xdr:clientData/>
  </xdr:twoCellAnchor>
  <xdr:twoCellAnchor editAs="oneCell">
    <xdr:from>
      <xdr:col>2</xdr:col>
      <xdr:colOff>762000</xdr:colOff>
      <xdr:row>1</xdr:row>
      <xdr:rowOff>259080</xdr:rowOff>
    </xdr:from>
    <xdr:to>
      <xdr:col>2</xdr:col>
      <xdr:colOff>1075936</xdr:colOff>
      <xdr:row>1</xdr:row>
      <xdr:rowOff>451116</xdr:rowOff>
    </xdr:to>
    <xdr:pic>
      <xdr:nvPicPr>
        <xdr:cNvPr id="7" name="Picture 6"/>
        <xdr:cNvPicPr>
          <a:picLocks noChangeAspect="1"/>
        </xdr:cNvPicPr>
      </xdr:nvPicPr>
      <xdr:blipFill rotWithShape="1">
        <a:blip xmlns:r="http://schemas.openxmlformats.org/officeDocument/2006/relationships" r:embed="rId2"/>
        <a:srcRect l="28140" t="55235" r="54609" b="31829"/>
        <a:stretch/>
      </xdr:blipFill>
      <xdr:spPr>
        <a:xfrm>
          <a:off x="6362700" y="335280"/>
          <a:ext cx="313936" cy="192036"/>
        </a:xfrm>
        <a:prstGeom prst="rect">
          <a:avLst/>
        </a:prstGeom>
      </xdr:spPr>
    </xdr:pic>
    <xdr:clientData/>
  </xdr:twoCellAnchor>
  <xdr:twoCellAnchor editAs="oneCell">
    <xdr:from>
      <xdr:col>2</xdr:col>
      <xdr:colOff>396240</xdr:colOff>
      <xdr:row>1</xdr:row>
      <xdr:rowOff>0</xdr:rowOff>
    </xdr:from>
    <xdr:to>
      <xdr:col>2</xdr:col>
      <xdr:colOff>710176</xdr:colOff>
      <xdr:row>1</xdr:row>
      <xdr:rowOff>192036</xdr:rowOff>
    </xdr:to>
    <xdr:pic>
      <xdr:nvPicPr>
        <xdr:cNvPr id="8" name="Picture 7"/>
        <xdr:cNvPicPr>
          <a:picLocks noChangeAspect="1"/>
        </xdr:cNvPicPr>
      </xdr:nvPicPr>
      <xdr:blipFill rotWithShape="1">
        <a:blip xmlns:r="http://schemas.openxmlformats.org/officeDocument/2006/relationships" r:embed="rId2"/>
        <a:srcRect l="2347" t="80696" r="80402" b="6368"/>
        <a:stretch/>
      </xdr:blipFill>
      <xdr:spPr>
        <a:xfrm>
          <a:off x="5996940" y="76200"/>
          <a:ext cx="313936" cy="1920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M117"/>
  <sheetViews>
    <sheetView tabSelected="1" zoomScaleNormal="100" workbookViewId="0">
      <selection activeCell="D2" sqref="D2"/>
    </sheetView>
  </sheetViews>
  <sheetFormatPr defaultColWidth="9.109375" defaultRowHeight="14.4" x14ac:dyDescent="0.3"/>
  <cols>
    <col min="1" max="1" width="3.5546875" style="1" customWidth="1"/>
    <col min="2" max="2" width="78.109375" style="6" customWidth="1"/>
    <col min="3" max="3" width="16.5546875" style="1" customWidth="1"/>
    <col min="4" max="4" width="30.88671875" style="1" customWidth="1"/>
    <col min="5" max="5" width="3.6640625" style="1" customWidth="1"/>
    <col min="6" max="9" width="13.6640625" style="1" customWidth="1"/>
    <col min="10" max="13" width="9.109375" style="85"/>
    <col min="14" max="263" width="13.6640625" style="1" customWidth="1"/>
    <col min="264" max="264" width="13.6640625" style="1" hidden="1" customWidth="1"/>
    <col min="265" max="265" width="23" style="1" hidden="1" customWidth="1"/>
    <col min="266" max="285" width="13.6640625" style="1" hidden="1" customWidth="1"/>
    <col min="286" max="286" width="62.44140625" style="59" hidden="1" customWidth="1"/>
    <col min="287" max="287" width="13.6640625" style="59" hidden="1" customWidth="1"/>
    <col min="288" max="288" width="20.5546875" style="59" hidden="1" customWidth="1"/>
    <col min="289" max="289" width="11.44140625" style="59" hidden="1" customWidth="1"/>
    <col min="290" max="290" width="13.88671875" style="59" hidden="1" customWidth="1"/>
    <col min="291" max="291" width="16.44140625" style="59" hidden="1" customWidth="1"/>
    <col min="292" max="293" width="11.6640625" style="59" hidden="1" customWidth="1"/>
    <col min="294" max="295" width="9.109375" style="59" hidden="1" customWidth="1"/>
    <col min="296" max="297" width="5.5546875" style="59" hidden="1" customWidth="1"/>
    <col min="298" max="298" width="10.33203125" style="59" hidden="1" customWidth="1"/>
    <col min="299" max="300" width="10.88671875" style="59" hidden="1" customWidth="1"/>
    <col min="301" max="316" width="9.109375" style="59" hidden="1" customWidth="1"/>
    <col min="317" max="320" width="13.6640625" style="1" hidden="1" customWidth="1"/>
    <col min="321" max="321" width="9.109375" style="1" hidden="1" customWidth="1"/>
    <col min="322" max="323" width="9.109375" style="1" customWidth="1"/>
    <col min="324" max="16384" width="9.109375" style="1"/>
  </cols>
  <sheetData>
    <row r="1" spans="1:377" ht="6" customHeight="1" x14ac:dyDescent="0.3">
      <c r="A1" s="108"/>
      <c r="B1" s="109"/>
      <c r="C1" s="110"/>
      <c r="D1" s="110"/>
      <c r="E1" s="111"/>
    </row>
    <row r="2" spans="1:377" ht="37.799999999999997" customHeight="1" x14ac:dyDescent="0.3">
      <c r="A2" s="112"/>
      <c r="B2" s="121" t="s">
        <v>89</v>
      </c>
      <c r="C2" s="113"/>
      <c r="D2" s="143"/>
      <c r="E2" s="144"/>
    </row>
    <row r="3" spans="1:377" ht="6" customHeight="1" thickBot="1" x14ac:dyDescent="0.35">
      <c r="A3" s="114"/>
      <c r="B3" s="115"/>
      <c r="C3" s="116"/>
      <c r="D3" s="116"/>
      <c r="E3" s="117"/>
    </row>
    <row r="4" spans="1:377" ht="49.5" customHeight="1" x14ac:dyDescent="0.3">
      <c r="A4" s="39"/>
      <c r="B4" s="137" t="str">
        <f>IF(ISBLANK($D$2),"",
IF($D$2=$KZ$4,LE4,
IF($D$2=$KZ$5,LF4,
IF($D$2=$KZ$6,LG4,
LH4))))</f>
        <v/>
      </c>
      <c r="C4" s="137"/>
      <c r="D4" s="137"/>
      <c r="E4" s="40"/>
      <c r="J4" s="1"/>
      <c r="JP4" s="65" t="str">
        <f>KZ4</f>
        <v>English</v>
      </c>
      <c r="JQ4" s="67" t="s">
        <v>94</v>
      </c>
      <c r="JR4" s="1" t="s">
        <v>28</v>
      </c>
      <c r="JT4" s="91" t="str">
        <f>KZ4</f>
        <v>English</v>
      </c>
      <c r="JU4" s="92" t="str">
        <f>KZ5</f>
        <v>Français</v>
      </c>
      <c r="JV4" s="92" t="str">
        <f>KZ6</f>
        <v>Português</v>
      </c>
      <c r="JW4" s="93" t="str">
        <f>KZ7</f>
        <v>Español</v>
      </c>
      <c r="KA4" s="58">
        <v>2021</v>
      </c>
      <c r="KB4" s="49" t="s">
        <v>19</v>
      </c>
      <c r="KC4" s="50" t="str">
        <f>"CARTON PRICE VALID FOR "&amp;KA4</f>
        <v>CARTON PRICE VALID FOR 2021</v>
      </c>
      <c r="KD4" s="49" t="s">
        <v>29</v>
      </c>
      <c r="KE4" s="49" t="s">
        <v>20</v>
      </c>
      <c r="KF4" s="50" t="str">
        <f>"FOB FMP conv valid for 2020 "&amp;KA4</f>
        <v>FOB FMP conv valid for 2020 2021</v>
      </c>
      <c r="KG4" s="50" t="str">
        <f>"FOB FMP org valid for 2020 "&amp;KA4</f>
        <v>FOB FMP org valid for 2020 2021</v>
      </c>
      <c r="KH4" s="51" t="s">
        <v>10</v>
      </c>
      <c r="KI4" s="52"/>
      <c r="KJ4" s="52"/>
      <c r="KK4" s="52"/>
      <c r="KL4" s="49" t="s">
        <v>18</v>
      </c>
      <c r="KM4" s="50" t="str">
        <f>"EXW FMP conv valid for "&amp;KA4</f>
        <v>EXW FMP conv valid for 2021</v>
      </c>
      <c r="KN4" s="50" t="str">
        <f>"EXW FMP org valid for "&amp;KA4</f>
        <v>EXW FMP org valid for 2021</v>
      </c>
      <c r="KS4" s="53" t="s">
        <v>27</v>
      </c>
      <c r="KT4" s="53" t="s">
        <v>23</v>
      </c>
      <c r="KU4" s="54" t="s">
        <v>24</v>
      </c>
      <c r="KV4" s="55" t="s">
        <v>25</v>
      </c>
      <c r="KW4" s="54" t="s">
        <v>26</v>
      </c>
      <c r="KX4" s="52" t="s">
        <v>28</v>
      </c>
      <c r="KY4" s="52"/>
      <c r="KZ4" s="52" t="s">
        <v>90</v>
      </c>
      <c r="LB4" s="52"/>
      <c r="LC4" s="52"/>
      <c r="LD4" s="52"/>
      <c r="LE4" s="82" t="str">
        <f>"PRORATE OF FAIRTRADE MINIMUM PRICES AND PREMIUM
THAT ARE VALID FOR "&amp;$KA$4</f>
        <v>PRORATE OF FAIRTRADE MINIMUM PRICES AND PREMIUM
THAT ARE VALID FOR 2021</v>
      </c>
      <c r="LF4" s="83" t="str">
        <f>"AU PRORATA DES PRIX MINIMUMS ET DE LA PRIME DU COMMERCE ÉQUITABLE
QUI SONT VALABLES POUR "&amp;$KA$4</f>
        <v>AU PRORATA DES PRIX MINIMUMS ET DE LA PRIME DU COMMERCE ÉQUITABLE
QUI SONT VALABLES POUR 2021</v>
      </c>
      <c r="LG4" s="83" t="str">
        <f>"PREÇOS MÍNIMOS DE COMÉRCIO JUSTO E PRÉMIO PROPORCIONAL
QUE SÃO VÁLIDOS PARA "&amp;$KA$4</f>
        <v>PREÇOS MÍNIMOS DE COMÉRCIO JUSTO E PRÉMIO PROPORCIONAL
QUE SÃO VÁLIDOS PARA 2021</v>
      </c>
      <c r="LH4" s="82" t="str">
        <f>"PRORRATEO DE PRECIOS MÍNIMOS Y PRIMA FAIRTRADE 
VIGENTES PARA EL AÑO "&amp;$KA$4</f>
        <v>PRORRATEO DE PRECIOS MÍNIMOS Y PRIMA FAIRTRADE 
VIGENTES PARA EL AÑO 2021</v>
      </c>
      <c r="LI4" s="52"/>
      <c r="LJ4" s="52"/>
      <c r="LK4" s="52"/>
      <c r="LL4" s="52"/>
      <c r="LM4" s="52"/>
      <c r="LN4" s="52"/>
      <c r="LO4" s="52"/>
      <c r="LP4" s="52"/>
      <c r="LQ4" s="52"/>
      <c r="LR4" s="52"/>
      <c r="LS4" s="52"/>
      <c r="LT4" s="52"/>
      <c r="LU4" s="52"/>
      <c r="LV4" s="52"/>
      <c r="LW4" s="52"/>
      <c r="LX4" s="52"/>
      <c r="LY4" s="52"/>
      <c r="LZ4" s="52"/>
      <c r="MA4" s="52"/>
      <c r="MB4" s="52"/>
      <c r="MC4" s="52"/>
      <c r="MD4" s="52"/>
      <c r="ME4" s="52"/>
      <c r="MF4" s="52"/>
      <c r="MG4" s="52"/>
      <c r="MH4" s="52"/>
      <c r="MI4" s="52"/>
      <c r="MJ4" s="52"/>
      <c r="MK4" s="52"/>
      <c r="ML4" s="52"/>
      <c r="MM4" s="52"/>
      <c r="MN4" s="52"/>
      <c r="MO4" s="52"/>
      <c r="MP4" s="52"/>
      <c r="MQ4" s="52"/>
      <c r="MR4" s="52"/>
      <c r="MS4" s="52"/>
      <c r="MT4" s="52"/>
      <c r="MU4" s="52"/>
      <c r="MV4" s="52"/>
      <c r="MW4" s="52"/>
      <c r="MX4" s="52"/>
      <c r="MY4" s="52"/>
      <c r="MZ4" s="52"/>
      <c r="NA4" s="52"/>
      <c r="NB4" s="52"/>
      <c r="NC4" s="52"/>
      <c r="ND4" s="52"/>
      <c r="NE4" s="52"/>
      <c r="NF4" s="52"/>
      <c r="NG4" s="52"/>
      <c r="NH4" s="52"/>
      <c r="NI4" s="52"/>
      <c r="NJ4" s="52"/>
      <c r="NK4" s="52"/>
      <c r="NL4" s="52"/>
      <c r="NM4" s="52"/>
    </row>
    <row r="5" spans="1:377" ht="9" customHeight="1" x14ac:dyDescent="0.3">
      <c r="A5" s="41"/>
      <c r="B5" s="37"/>
      <c r="C5" s="37"/>
      <c r="D5" s="37"/>
      <c r="E5" s="42"/>
      <c r="JP5" s="69" t="str">
        <f>KZ5</f>
        <v>Français</v>
      </c>
      <c r="JQ5" s="70" t="s">
        <v>95</v>
      </c>
      <c r="JR5" s="1" t="s">
        <v>28</v>
      </c>
      <c r="JT5" s="69" t="str">
        <f>"This tool is for prorating the country specific Fairtrade Minimum Prices for banana, which are set for an standard carton box of 18.14 kg and valid for "&amp;KA4&amp;". "</f>
        <v xml:space="preserve">This tool is for prorating the country specific Fairtrade Minimum Prices for banana, which are set for an standard carton box of 18.14 kg and valid for 2021. </v>
      </c>
      <c r="JU5" s="68" t="str">
        <f>"Cet outil est utilisé pour calculer au prorata les prix minimums du commerce équitable pour les bananes, pour des pays spécifiques, fixés pour la boîte en carton standard de 18,14 kg, qui sont valables pendant "&amp;KA4&amp;". "</f>
        <v xml:space="preserve">Cet outil est utilisé pour calculer au prorata les prix minimums du commerce équitable pour les bananes, pour des pays spécifiques, fixés pour la boîte en carton standard de 18,14 kg, qui sont valables pendant 2021. </v>
      </c>
      <c r="JV5" s="68" t="str">
        <f>"Esta ferramenta é utilizada para avaliar os Preços Mínimos de Comércio Justo para bananas, para países específicos, estabelecidos para a caixa de cartão padrão de 18,14 kg, que são válidos para "&amp;KA4&amp;". "</f>
        <v xml:space="preserve">Esta ferramenta é utilizada para avaliar os Preços Mínimos de Comércio Justo para bananas, para países específicos, estabelecidos para a caixa de cartão padrão de 18,14 kg, que são válidos para 2021. </v>
      </c>
      <c r="JW5" s="70" t="str">
        <f>"Esta herramienta sirve para prorratear los Precios Mínimos Fairtrade de banano, para países específicos, establecidos para la caja de cartón estándar de 18,14 kg y que son válidos para "&amp;KA4&amp;"."</f>
        <v>Esta herramienta sirve para prorratear los Precios Mínimos Fairtrade de banano, para países específicos, establecidos para la caja de cartón estándar de 18,14 kg y que son válidos para 2021.</v>
      </c>
      <c r="JX5" s="1" t="s">
        <v>28</v>
      </c>
      <c r="JZ5" s="86" t="str">
        <f>IF(ISBLANK($D$2),"",
IF($D$2=$KZ$4,JT5,
IF($D$2=$KZ$5,JU5,
IF($D$2=$KZ$6,JV5,
JW5))))</f>
        <v/>
      </c>
      <c r="KB5" s="60" t="str">
        <f t="shared" ref="KB5:KB12" si="0">IF(ISBLANK($D$2),"",
IF($D$2=$KZ$4,JT10,
IF($D$2=$KZ$5,JU10,
IF($D$2=$KZ$6,JV10,
JW10))))</f>
        <v/>
      </c>
      <c r="KC5" s="61">
        <v>1.58</v>
      </c>
      <c r="KD5" s="60" t="s">
        <v>4</v>
      </c>
      <c r="KE5" s="60" t="str">
        <f t="shared" ref="KE5:KE12" si="1">IF($D$2=$KZ$4,$JT$19,
IF($D$2=$KZ$5,$JU$19,
IF($D$2=$KZ$6,$JV$19,
$JW$19)))</f>
        <v>sin incluir</v>
      </c>
      <c r="KF5" s="62">
        <v>9.9</v>
      </c>
      <c r="KG5" s="63"/>
      <c r="KH5" s="59" t="str">
        <f>IF(ISBLANK($D$2),"",
IF($D$2=$KZ$4,$JT$20,
IF($D$2=$KZ$5,$JU$20,
IF($D$2=$KZ$6,$JV$20,
$JW$20))))</f>
        <v/>
      </c>
      <c r="KK5" s="64"/>
      <c r="KL5" s="59" t="s">
        <v>3</v>
      </c>
      <c r="KM5" s="62">
        <v>6.85</v>
      </c>
      <c r="KN5" s="63"/>
      <c r="KS5" s="65">
        <v>1.62</v>
      </c>
      <c r="KT5" s="66">
        <v>9.8999999999999986</v>
      </c>
      <c r="KU5" s="66"/>
      <c r="KV5" s="66">
        <v>6.85</v>
      </c>
      <c r="KW5" s="67"/>
      <c r="KZ5" s="59" t="s">
        <v>93</v>
      </c>
      <c r="LC5" s="52"/>
    </row>
    <row r="6" spans="1:377" ht="146.4" customHeight="1" x14ac:dyDescent="0.3">
      <c r="A6" s="41"/>
      <c r="B6" s="139" t="str">
        <f>JZ5&amp;JZ6&amp;" "&amp;JZ7&amp;"
"&amp;JZ8</f>
        <v xml:space="preserve"> 
</v>
      </c>
      <c r="C6" s="139"/>
      <c r="D6" s="139"/>
      <c r="E6" s="42"/>
      <c r="J6" s="1"/>
      <c r="JE6" s="6" t="s">
        <v>100</v>
      </c>
      <c r="JG6" s="6" t="s">
        <v>99</v>
      </c>
      <c r="JH6" s="6"/>
      <c r="JI6" s="6"/>
      <c r="JL6" s="6"/>
      <c r="JM6" s="6"/>
      <c r="JP6" s="69" t="str">
        <f>KZ6</f>
        <v>Português</v>
      </c>
      <c r="JQ6" s="70" t="s">
        <v>96</v>
      </c>
      <c r="JR6" s="1" t="s">
        <v>28</v>
      </c>
      <c r="JT6" s="69" t="s">
        <v>102</v>
      </c>
      <c r="JU6" s="68" t="s">
        <v>103</v>
      </c>
      <c r="JV6" s="68" t="s">
        <v>104</v>
      </c>
      <c r="JW6" s="70" t="s">
        <v>105</v>
      </c>
      <c r="JX6" s="1" t="s">
        <v>28</v>
      </c>
      <c r="JZ6" s="87" t="str">
        <f>IF(ISBLANK($D$2),"",
IF($D$2=$KZ$4,JT6,
IF($D$2=$KZ$5,JU6,
IF($D$2=$KZ$6,JV6,
JW6))))</f>
        <v/>
      </c>
      <c r="KB6" s="60" t="str">
        <f t="shared" si="0"/>
        <v/>
      </c>
      <c r="KC6" s="61">
        <v>1.55</v>
      </c>
      <c r="KD6" s="60" t="s">
        <v>4</v>
      </c>
      <c r="KE6" s="60" t="str">
        <f t="shared" si="1"/>
        <v>sin incluir</v>
      </c>
      <c r="KF6" s="63"/>
      <c r="KG6" s="62">
        <v>12.35</v>
      </c>
      <c r="KH6" s="59" t="str">
        <f>IF(ISBLANK($D$2),"",
IF($D$2=$KZ$4,$JT$21,
IF($D$2=$KZ$5,$JU$21,
IF($D$2=$KZ$6,$JV$21,
$JW$21))))</f>
        <v/>
      </c>
      <c r="KK6" s="68"/>
      <c r="KL6" s="59" t="s">
        <v>17</v>
      </c>
      <c r="KM6" s="63"/>
      <c r="KN6" s="62">
        <v>8.9499999999999993</v>
      </c>
      <c r="KS6" s="69">
        <v>1.68</v>
      </c>
      <c r="KT6" s="68"/>
      <c r="KU6" s="68">
        <v>12.3</v>
      </c>
      <c r="KV6" s="68"/>
      <c r="KW6" s="70">
        <v>8.9</v>
      </c>
      <c r="KZ6" s="59" t="s">
        <v>92</v>
      </c>
      <c r="LC6" s="52"/>
    </row>
    <row r="7" spans="1:377" ht="6.6" customHeight="1" x14ac:dyDescent="0.3">
      <c r="A7" s="41"/>
      <c r="B7" s="37"/>
      <c r="C7" s="37"/>
      <c r="D7" s="37"/>
      <c r="E7" s="42"/>
      <c r="JH7" s="6"/>
      <c r="JI7" s="6"/>
      <c r="JP7" s="71" t="str">
        <f>KZ7</f>
        <v>Español</v>
      </c>
      <c r="JQ7" s="118" t="s">
        <v>97</v>
      </c>
      <c r="JR7" s="1" t="s">
        <v>28</v>
      </c>
      <c r="JT7" s="69" t="s">
        <v>33</v>
      </c>
      <c r="JU7" s="68" t="s">
        <v>78</v>
      </c>
      <c r="JV7" s="68" t="s">
        <v>79</v>
      </c>
      <c r="JW7" s="70" t="s">
        <v>41</v>
      </c>
      <c r="JX7" s="1" t="s">
        <v>28</v>
      </c>
      <c r="JZ7" s="87" t="str">
        <f>IF(ISBLANK($D$2),"",
IF($D$2=$KZ$4,JT7,
IF($D$2=$KZ$5,JU7,
IF($D$2=$KZ$6,JV7,
JW7))))</f>
        <v/>
      </c>
      <c r="KB7" s="60" t="str">
        <f t="shared" si="0"/>
        <v/>
      </c>
      <c r="KC7" s="61">
        <v>1.1399999999999999</v>
      </c>
      <c r="KD7" s="60" t="s">
        <v>4</v>
      </c>
      <c r="KE7" s="60" t="str">
        <f t="shared" si="1"/>
        <v>sin incluir</v>
      </c>
      <c r="KF7" s="62">
        <v>9.8000000000000007</v>
      </c>
      <c r="KG7" s="63"/>
      <c r="KK7" s="68"/>
      <c r="KM7" s="62">
        <v>7.2</v>
      </c>
      <c r="KN7" s="63"/>
      <c r="KS7" s="69">
        <f>ROUND(1.42/1.19,2)</f>
        <v>1.19</v>
      </c>
      <c r="KT7" s="68">
        <v>10</v>
      </c>
      <c r="KU7" s="68"/>
      <c r="KV7" s="68">
        <v>7.35</v>
      </c>
      <c r="KW7" s="70"/>
      <c r="KZ7" s="59" t="s">
        <v>91</v>
      </c>
      <c r="LC7" s="52"/>
    </row>
    <row r="8" spans="1:377" ht="15.6" x14ac:dyDescent="0.3">
      <c r="A8" s="41"/>
      <c r="B8" s="38" t="str">
        <f>IF(ISBLANK($D$2),"",
IF($D$2=$KZ$4,LE8,
IF($D$2=$KZ$5,LF8,
IF($D$2=$KZ$6,LG8,
LH8))))</f>
        <v/>
      </c>
      <c r="C8" s="134"/>
      <c r="D8" s="134"/>
      <c r="E8" s="42"/>
      <c r="J8" s="1"/>
      <c r="K8" s="1"/>
      <c r="L8" s="1"/>
      <c r="JE8" s="126" t="e">
        <f>VLOOKUP(D2&amp;C8,$JO$14:$JO$53,1,FALSE)</f>
        <v>#N/A</v>
      </c>
      <c r="JF8" s="127" t="b">
        <f>ISERROR(JE8)</f>
        <v>1</v>
      </c>
      <c r="JG8" s="128" t="b">
        <f>IF(AND(JF8=FALSE,JF9=FALSE),FALSE,TRUE)</f>
        <v>1</v>
      </c>
      <c r="JH8" s="6"/>
      <c r="JI8" s="6"/>
      <c r="JL8" s="128"/>
      <c r="JM8" s="128"/>
      <c r="JP8" s="59"/>
      <c r="JT8" s="69" t="s">
        <v>30</v>
      </c>
      <c r="JU8" s="68" t="s">
        <v>81</v>
      </c>
      <c r="JV8" s="94" t="s">
        <v>80</v>
      </c>
      <c r="JW8" s="70" t="s">
        <v>101</v>
      </c>
      <c r="JX8" s="1" t="s">
        <v>28</v>
      </c>
      <c r="JZ8" s="88" t="str">
        <f>IF(ISBLANK($D$2),"",
IF($D$2=$KZ$4,JT8,
IF($D$2=$KZ$5,JU8,
IF($D$2=$KZ$6,JV8,
JW8))))</f>
        <v/>
      </c>
      <c r="KB8" s="60" t="str">
        <f t="shared" si="0"/>
        <v/>
      </c>
      <c r="KC8" s="61">
        <v>1.35</v>
      </c>
      <c r="KD8" s="60" t="s">
        <v>4</v>
      </c>
      <c r="KE8" s="60" t="str">
        <f t="shared" si="1"/>
        <v>sin incluir</v>
      </c>
      <c r="KF8" s="62">
        <v>9.35</v>
      </c>
      <c r="KG8" s="62">
        <v>12.2</v>
      </c>
      <c r="KK8" s="68"/>
      <c r="KM8" s="62">
        <v>6.55</v>
      </c>
      <c r="KN8" s="62">
        <v>9.3000000000000007</v>
      </c>
      <c r="KS8" s="69">
        <v>1.44</v>
      </c>
      <c r="KT8" s="68">
        <v>9.1999999999999993</v>
      </c>
      <c r="KU8" s="68">
        <v>12.1</v>
      </c>
      <c r="KV8" s="68">
        <v>6.5</v>
      </c>
      <c r="KW8" s="70">
        <v>9.25</v>
      </c>
      <c r="LE8" s="82" t="s">
        <v>21</v>
      </c>
      <c r="LF8" s="82" t="s">
        <v>64</v>
      </c>
      <c r="LG8" s="82" t="s">
        <v>66</v>
      </c>
      <c r="LH8" s="82" t="s">
        <v>34</v>
      </c>
    </row>
    <row r="9" spans="1:377" ht="15.6" x14ac:dyDescent="0.3">
      <c r="A9" s="41"/>
      <c r="B9" s="38" t="str">
        <f>IF(ISBLANK($D$2),"",
IF($D$2=$KZ$4,LE9,
IF($D$2=$KZ$5,LF9,
IF($D$2=$KZ$6,LG9,
LH9))))</f>
        <v/>
      </c>
      <c r="C9" s="134"/>
      <c r="D9" s="134"/>
      <c r="E9" s="42"/>
      <c r="J9" s="1"/>
      <c r="K9" s="1"/>
      <c r="L9" s="1"/>
      <c r="JE9" s="126" t="e">
        <f>VLOOKUP(D2&amp;C9,$JO$14:$JO$53,1,FALSE)</f>
        <v>#N/A</v>
      </c>
      <c r="JF9" s="127" t="b">
        <f>ISERROR(JE9)</f>
        <v>1</v>
      </c>
      <c r="JH9" s="6"/>
      <c r="JI9" s="6"/>
      <c r="JK9" s="1" t="s">
        <v>28</v>
      </c>
      <c r="JP9" s="59"/>
      <c r="JT9" s="69"/>
      <c r="JU9" s="94"/>
      <c r="JV9" s="94"/>
      <c r="JW9" s="70"/>
      <c r="KB9" s="60" t="str">
        <f t="shared" si="0"/>
        <v/>
      </c>
      <c r="KC9" s="61">
        <v>1.7</v>
      </c>
      <c r="KD9" s="60" t="s">
        <v>4</v>
      </c>
      <c r="KE9" s="60" t="str">
        <f t="shared" si="1"/>
        <v>sin incluir</v>
      </c>
      <c r="KF9" s="62">
        <v>12.2</v>
      </c>
      <c r="KG9" s="63"/>
      <c r="KK9" s="68"/>
      <c r="KM9" s="62">
        <v>8.9499999999999993</v>
      </c>
      <c r="KN9" s="63"/>
      <c r="KS9" s="69">
        <v>1.74</v>
      </c>
      <c r="KT9" s="68">
        <v>12.2</v>
      </c>
      <c r="KU9" s="68"/>
      <c r="KV9" s="68">
        <v>8.9499999999999993</v>
      </c>
      <c r="KW9" s="70"/>
      <c r="LE9" s="82" t="s">
        <v>22</v>
      </c>
      <c r="LF9" s="82" t="s">
        <v>65</v>
      </c>
      <c r="LG9" s="82" t="s">
        <v>67</v>
      </c>
      <c r="LH9" s="82" t="s">
        <v>35</v>
      </c>
    </row>
    <row r="10" spans="1:377" ht="5.4" customHeight="1" x14ac:dyDescent="0.3">
      <c r="A10" s="41"/>
      <c r="B10" s="57"/>
      <c r="C10" s="56" t="s">
        <v>3</v>
      </c>
      <c r="D10" s="56"/>
      <c r="E10" s="42"/>
      <c r="JH10" s="6"/>
      <c r="JI10" s="6"/>
      <c r="JP10" s="52"/>
      <c r="JT10" s="95" t="s">
        <v>6</v>
      </c>
      <c r="JU10" s="96" t="s">
        <v>6</v>
      </c>
      <c r="JV10" s="96" t="s">
        <v>46</v>
      </c>
      <c r="JW10" s="97" t="s">
        <v>46</v>
      </c>
      <c r="JX10" s="1" t="s">
        <v>28</v>
      </c>
      <c r="KB10" s="60" t="str">
        <f t="shared" si="0"/>
        <v/>
      </c>
      <c r="KC10" s="61">
        <v>1.35</v>
      </c>
      <c r="KD10" s="60" t="s">
        <v>4</v>
      </c>
      <c r="KE10" s="60" t="str">
        <f t="shared" si="1"/>
        <v>sin incluir</v>
      </c>
      <c r="KF10" s="62">
        <v>9.75</v>
      </c>
      <c r="KG10" s="63"/>
      <c r="KK10" s="68"/>
      <c r="KM10" s="62">
        <v>6.6</v>
      </c>
      <c r="KN10" s="63"/>
      <c r="KS10" s="69">
        <v>1.45</v>
      </c>
      <c r="KT10" s="68">
        <v>9.6999999999999993</v>
      </c>
      <c r="KU10" s="68"/>
      <c r="KV10" s="68">
        <v>6.55</v>
      </c>
      <c r="KW10" s="70"/>
    </row>
    <row r="11" spans="1:377" ht="66" customHeight="1" x14ac:dyDescent="0.3">
      <c r="A11" s="41"/>
      <c r="B11" s="138" t="str">
        <f>IF(OR(ISBLANK($D$2),ISBLANK($C$8),ISBLANK($C$9)),"",
IF($JG$8,VLOOKUP($D$2,$JP$4:$JQ$7,2,FALSE),
IF($D$2=$KZ$4,LE11,
IF($D$2=$KZ$5,LF11,
IF($D$2=$KZ$6,LG11,
LH11)))))</f>
        <v/>
      </c>
      <c r="C11" s="138"/>
      <c r="D11" s="138"/>
      <c r="E11" s="42"/>
      <c r="JH11" s="129"/>
      <c r="JP11" s="59"/>
      <c r="JT11" s="95" t="s">
        <v>7</v>
      </c>
      <c r="JU11" s="96" t="s">
        <v>50</v>
      </c>
      <c r="JV11" s="96" t="s">
        <v>7</v>
      </c>
      <c r="JW11" s="97" t="s">
        <v>47</v>
      </c>
      <c r="JX11" s="1" t="s">
        <v>28</v>
      </c>
      <c r="KB11" s="60" t="str">
        <f t="shared" si="0"/>
        <v/>
      </c>
      <c r="KC11" s="61">
        <v>1.75</v>
      </c>
      <c r="KD11" s="60" t="s">
        <v>4</v>
      </c>
      <c r="KE11" s="60" t="str">
        <f t="shared" si="1"/>
        <v>sin incluir</v>
      </c>
      <c r="KF11" s="62">
        <v>11</v>
      </c>
      <c r="KG11" s="62">
        <v>13.6</v>
      </c>
      <c r="KK11" s="68"/>
      <c r="KM11" s="62">
        <v>7.15</v>
      </c>
      <c r="KN11" s="62">
        <v>9.75</v>
      </c>
      <c r="KS11" s="69">
        <v>1.85</v>
      </c>
      <c r="KT11" s="68">
        <v>11</v>
      </c>
      <c r="KU11" s="68">
        <v>13.600000000000001</v>
      </c>
      <c r="KV11" s="68">
        <v>7.2</v>
      </c>
      <c r="KW11" s="70">
        <v>9.8000000000000007</v>
      </c>
      <c r="LE11" s="82" t="str">
        <f>IF($KG$14=FALSE,"",
IF(ISERROR($KF$14),VLOOKUP($D$2,$JP$4:$JQ$7,2,FALSE),
IF($KF$14=0,"Prorate cannot run. This tool only prorates prices set for country specific Fairtrade Minimum Prices for banana. There is no country specific Fairtrade Minimum Price for "&amp;KD14&amp;" banana from "&amp;$C$8,"")))</f>
        <v/>
      </c>
      <c r="LF11" s="82" t="str">
        <f>IF($KG$14=FALSE,"",
IF(ISERROR($KF$14),VLOOKUP($D$2,$JP$4:$JQ$7,2,FALSE),
IF($KF$14=0,"Le prorata ne peut pas courir. L'outil ne fait qu'établir au prorata le prix fixé pour les prix minimums Fairtrade spécifiques à chaque pays pour la banane. Il n'existe pas de prix minimum du Fairtrade spécifique à un pays pour les bananes "&amp;KD14&amp;" de "&amp;$C$8,"")))</f>
        <v/>
      </c>
      <c r="LG11" s="82" t="str">
        <f>IF($KG$14=FALSE,"",
IF(ISERROR($KF$14),VLOOKUP($D$2,$JP$4:$JQ$7,2,FALSE),
IF($KF$14=0,"O prorato não pode funcionar. O instrumento apenas prorroga os preços estabelecidos para os preços mínimos de comércio equitativo específicos do país para a banana. Não existe um preço mínimo de comércio equitativo específico de um país para "&amp;KD14&amp;" de "&amp;$C$8,"")))</f>
        <v/>
      </c>
      <c r="LH11" s="82" t="str">
        <f>IF($KG$14=FALSE,"",
IF(ISERROR($KF$14),VLOOKUP($D$2,$JP$4:$JQ$7,2,FALSE),
IF($KF$14=0,"El prorrateo no se puede llevar a cabo. Esta herramienta sólo prorratea los Precios Mínimos Fairtrade de banano para países específicos. No existe un Precio Mínimo para banana "&amp;KD14&amp;" de "&amp;$C$8,"")))</f>
        <v/>
      </c>
    </row>
    <row r="12" spans="1:377" ht="9" customHeight="1" thickBot="1" x14ac:dyDescent="0.35">
      <c r="A12" s="41"/>
      <c r="B12" s="36"/>
      <c r="C12" s="36"/>
      <c r="D12" s="36"/>
      <c r="E12" s="42"/>
      <c r="JP12" s="59"/>
      <c r="JT12" s="95" t="s">
        <v>1</v>
      </c>
      <c r="JU12" s="96" t="s">
        <v>51</v>
      </c>
      <c r="JV12" s="96" t="s">
        <v>55</v>
      </c>
      <c r="JW12" s="97" t="s">
        <v>1</v>
      </c>
      <c r="KB12" s="60" t="str">
        <f t="shared" si="0"/>
        <v/>
      </c>
      <c r="KC12" s="61">
        <v>1.34</v>
      </c>
      <c r="KD12" s="60" t="s">
        <v>4</v>
      </c>
      <c r="KE12" s="60" t="str">
        <f t="shared" si="1"/>
        <v>sin incluir</v>
      </c>
      <c r="KF12" s="62">
        <v>9.4</v>
      </c>
      <c r="KG12" s="63"/>
      <c r="KK12" s="68"/>
      <c r="KM12" s="62">
        <v>6.85</v>
      </c>
      <c r="KN12" s="63"/>
      <c r="KS12" s="71">
        <v>1.42</v>
      </c>
      <c r="KT12" s="72">
        <v>9.3000000000000007</v>
      </c>
      <c r="KU12" s="72"/>
      <c r="KV12" s="72">
        <v>6.75</v>
      </c>
      <c r="KW12" s="73"/>
    </row>
    <row r="13" spans="1:377" ht="33" customHeight="1" thickBot="1" x14ac:dyDescent="0.35">
      <c r="A13" s="41"/>
      <c r="B13" s="140" t="str">
        <f t="shared" ref="B13:B24" si="2">IF(OR($JG$8,ISBLANK($D$2)),"",
IF($D$2=$KZ$4,LE13,
IF($D$2=$KZ$5,LF13,
IF($D$2=$KZ$6,LG13,
LH13))))</f>
        <v/>
      </c>
      <c r="C13" s="141"/>
      <c r="D13" s="142"/>
      <c r="E13" s="42"/>
      <c r="JP13" s="59"/>
      <c r="JT13" s="95" t="s">
        <v>2</v>
      </c>
      <c r="JU13" s="96" t="s">
        <v>52</v>
      </c>
      <c r="JV13" s="96" t="s">
        <v>56</v>
      </c>
      <c r="JW13" s="97" t="s">
        <v>2</v>
      </c>
      <c r="KC13" s="74"/>
      <c r="KE13" s="74"/>
      <c r="KK13" s="74"/>
      <c r="KM13" s="75"/>
      <c r="LE13" s="82" t="str">
        <f>"EXAMPLE 1:
  PRORATE TO SPECIAL CARTON BOX "&amp;IF(ISBLANK($C$21),"OF __ kg (PLEASE ENTER THE WEIGHT IN KILOGRAMS IN CELL C21)","OF "&amp;$C$21&amp;"kg FOR BANANA")</f>
        <v>EXAMPLE 1:
  PRORATE TO SPECIAL CARTON BOX OF __ kg (PLEASE ENTER THE WEIGHT IN KILOGRAMS IN CELL C21)</v>
      </c>
      <c r="LF13" s="82" t="str">
        <f>"EXEMPLE 1 :
RÉPARTITION POUR LA BOÎTE EN CARTON SPÉCIALE "&amp;IF(ISBLANK($C$21),"DE __ kg (ENTREZ LE POIDS EN KILOGRAMMES DANS LA CELLULE C21)","DE "&amp;$C$21&amp;"kg DE BANANE FRAÎCHE")</f>
        <v>EXEMPLE 1 :
RÉPARTITION POUR LA BOÎTE EN CARTON SPÉCIALE DE __ kg (ENTREZ LE POIDS EN KILOGRAMMES DANS LA CELLULE C21)</v>
      </c>
      <c r="LG13" s="82" t="str">
        <f>"EXEMPLO 1:
REPARTIÇÃO PARA A CAIXA DE CARTÃO ESPECIAL "&amp;IF(ISBLANK($C$21),"DE __ kg (INTRODUZIR PESO EM QUILOGRAMAS NA CÉLULA C21)","DE "&amp;$C$21&amp;"kg DE BANANA FRESCA")</f>
        <v>EXEMPLO 1:
REPARTIÇÃO PARA A CAIXA DE CARTÃO ESPECIAL DE __ kg (INTRODUZIR PESO EM QUILOGRAMAS NA CÉLULA C21)</v>
      </c>
      <c r="LH13" s="82" t="str">
        <f>"EJEMPLO 1:
  PRORRATEO PARA LA CAJA DE CARTÓN ESPECIAL "&amp;IF(ISBLANK($C$21),"DE __ kg (INGRESE EL PESO EN KILOGRAMOS EN LA CELDA C21)","DE "&amp;$C$21&amp;"kg DE BANANO FRESCO")</f>
        <v>EJEMPLO 1:
  PRORRATEO PARA LA CAJA DE CARTÓN ESPECIAL DE __ kg (INGRESE EL PESO EN KILOGRAMOS EN LA CELDA C21)</v>
      </c>
    </row>
    <row r="14" spans="1:377" ht="15" customHeight="1" x14ac:dyDescent="0.3">
      <c r="A14" s="41"/>
      <c r="B14" s="7" t="str">
        <f t="shared" si="2"/>
        <v/>
      </c>
      <c r="C14" s="8"/>
      <c r="D14" s="9"/>
      <c r="E14" s="42"/>
      <c r="JE14" s="119" t="str">
        <f>JQ14&amp;JP16</f>
        <v>Englishbanane conventionnelle du commerce équitable</v>
      </c>
      <c r="JF14" s="89" t="str">
        <f>JP14</f>
        <v>conventional Fairtrade banana</v>
      </c>
      <c r="JG14" s="1" t="s">
        <v>28</v>
      </c>
      <c r="JO14" s="65" t="str">
        <f t="shared" ref="JO14:JO53" si="3">JQ14&amp;JP14</f>
        <v>Englishconventional Fairtrade banana</v>
      </c>
      <c r="JP14" s="130" t="str">
        <f>JT20</f>
        <v>conventional Fairtrade banana</v>
      </c>
      <c r="JQ14" s="105" t="str">
        <f>JT4</f>
        <v>English</v>
      </c>
      <c r="JT14" s="95" t="s">
        <v>8</v>
      </c>
      <c r="JU14" s="96" t="s">
        <v>53</v>
      </c>
      <c r="JV14" s="96" t="s">
        <v>57</v>
      </c>
      <c r="JW14" s="97" t="s">
        <v>48</v>
      </c>
      <c r="JZ14" s="122" t="b">
        <f>IF(OR(ISBLANK(C21),ISBLANK(C22)),TRUE,FALSE)</f>
        <v>1</v>
      </c>
      <c r="KA14" s="123"/>
      <c r="KB14" s="123" t="str">
        <f>IF($KG$14=FALSE,"",VLOOKUP($C$8,$KB$5:$KC$12,1,FALSE))</f>
        <v/>
      </c>
      <c r="KC14" s="123" t="str">
        <f>IF($KG$14=FALSE,"",VLOOKUP($C$8,$KB$5:$KC$12,2,FALSE))</f>
        <v/>
      </c>
      <c r="KD14" s="123" t="str">
        <f>IF($C$9=$KH$5,JX23,JX22)</f>
        <v>convencional</v>
      </c>
      <c r="KE14" s="123"/>
      <c r="KF14" s="124" t="str">
        <f>IF($KG$14=FALSE,"",IF($C$9=$KH$5,VLOOKUP($C$8,$KB$5:$KG$12,5,FALSE),
VLOOKUP($C$8,$KB$5:$KG$12,6,FALSE)))</f>
        <v/>
      </c>
      <c r="KG14" s="125" t="b">
        <f>AND(ISBLANK(C8)=FALSE,ISBLANK(C9)=FALSE,ISBLANK(C10)=FALSE)</f>
        <v>0</v>
      </c>
      <c r="KM14" s="75" t="str">
        <f>IF($KG$14=FALSE,"",IF($C$9=$KH$5,VLOOKUP($C$8,$KB$5:$KN$12,12,FALSE),
VLOOKUP($C$8,$KB$5:$KN$12,13,FALSE)))</f>
        <v/>
      </c>
      <c r="LE14" s="82" t="s">
        <v>31</v>
      </c>
      <c r="LF14" s="82" t="s">
        <v>68</v>
      </c>
      <c r="LG14" s="82" t="s">
        <v>69</v>
      </c>
      <c r="LH14" s="82" t="s">
        <v>45</v>
      </c>
    </row>
    <row r="15" spans="1:377" ht="49.8" customHeight="1" x14ac:dyDescent="0.3">
      <c r="A15" s="41"/>
      <c r="B15" s="10" t="str">
        <f t="shared" si="2"/>
        <v/>
      </c>
      <c r="C15" s="11" t="str">
        <f>IF(OR($JG$8,ISBLANK($D$2)),"",
IF($KF$14=0,"",KC14))</f>
        <v/>
      </c>
      <c r="D15" s="12" t="str">
        <f>IF(OR($JG$8,ISBLANK($D$2)),"",
IF(KG14=FALSE,"",
IF($KF$14=0,"",
"USD/box"&amp;$C$16&amp;"kg")))</f>
        <v/>
      </c>
      <c r="E15" s="42"/>
      <c r="JE15" s="98" t="str">
        <f>JQ15&amp;JP17</f>
        <v>Englishbanane biologique du commerce équitable</v>
      </c>
      <c r="JF15" s="99" t="str">
        <f>JP15</f>
        <v>organic Fairtrade banana</v>
      </c>
      <c r="JG15" s="1" t="s">
        <v>28</v>
      </c>
      <c r="JO15" s="69" t="str">
        <f t="shared" si="3"/>
        <v>Englishorganic Fairtrade banana</v>
      </c>
      <c r="JP15" s="131" t="str">
        <f>JT21</f>
        <v>organic Fairtrade banana</v>
      </c>
      <c r="JQ15" s="106" t="str">
        <f>JT4</f>
        <v>English</v>
      </c>
      <c r="JT15" s="95" t="s">
        <v>0</v>
      </c>
      <c r="JU15" s="96" t="s">
        <v>0</v>
      </c>
      <c r="JV15" s="96" t="s">
        <v>0</v>
      </c>
      <c r="JW15" s="97" t="s">
        <v>0</v>
      </c>
      <c r="LE15" s="82" t="str">
        <f>IF(KG14=FALSE,"",
IF($KF$14=0,"",
"• Price of the standard carton box ("&amp;VLOOKUP($C$8,$KB$5:$KE$12,4,FALSE)&amp;" the value added tax), that was used for estimating the Fairtrade Minimum Price for Fairtrade banana from "&amp;$KB$14&amp;":"))</f>
        <v/>
      </c>
      <c r="LF15" s="84" t="str">
        <f>IF(KG14=FALSE,"",
IF($KF$14=0,"",
"• Prix d'une boîte en carton standard ("&amp;VLOOKUP($C$8,$KB$5:$KE$12,4,FALSE)&amp;" o imposto sobre o valor acrescentado), qui a été utilisé pour estimer le prix minimum Fairtrade pour les bananes Fairtrade de "&amp;$KB$14&amp;":"))</f>
        <v/>
      </c>
      <c r="LG15" s="84" t="str">
        <f>IF(KG14=FALSE,"",
IF($KF$14=0,"",
"• Preço standard da caixa de cartão ("&amp;VLOOKUP($C$8,$KB$5:$KE$12,4,FALSE)&amp;" o imposto sobre o valor acrescentado), que foi utilizado para estimar o Preço Mínimo de Comércio Justo para bananas de Comércio Justo de "&amp;$KB$14&amp;":"))</f>
        <v/>
      </c>
      <c r="LH15" s="84" t="str">
        <f>IF(KG14=FALSE,"",
IF($KF$14=0,"",
"• Precio de la caja de cartón estándar ("&amp;VLOOKUP($C$8,$KB$5:$KE$12,4,FALSE)&amp;" el impuesto del valor agregado), que se utilizó para estimar el Precio Mínimo Fairtrade para banano Fairtrade de "&amp;$KB$14&amp;":"))</f>
        <v/>
      </c>
    </row>
    <row r="16" spans="1:377" ht="49.8" customHeight="1" x14ac:dyDescent="0.3">
      <c r="A16" s="41"/>
      <c r="B16" s="13" t="str">
        <f t="shared" si="2"/>
        <v/>
      </c>
      <c r="C16" s="14" t="str">
        <f>IF(OR($JG$8,ISBLANK($D$2)),"",
IF(KG14=FALSE,"",
IF($KF$14=0,"",
18.14)))</f>
        <v/>
      </c>
      <c r="D16" s="15" t="str">
        <f>IF(OR($JG$8,ISBLANK($D$2)),"",
IF(KG14=FALSE,"",
IF($KF$14=0,"",
"kg")))</f>
        <v/>
      </c>
      <c r="E16" s="42"/>
      <c r="JE16" s="98" t="str">
        <f>JQ14&amp;JP18</f>
        <v>Englishbanana convencional de comércio justo</v>
      </c>
      <c r="JF16" s="99" t="str">
        <f>JF14</f>
        <v>conventional Fairtrade banana</v>
      </c>
      <c r="JG16" s="1" t="s">
        <v>28</v>
      </c>
      <c r="JO16" s="69" t="str">
        <f t="shared" si="3"/>
        <v>Françaisbanane conventionnelle du commerce équitable</v>
      </c>
      <c r="JP16" s="131" t="str">
        <f>JU20</f>
        <v>banane conventionnelle du commerce équitable</v>
      </c>
      <c r="JQ16" s="106" t="str">
        <f>JU4</f>
        <v>Français</v>
      </c>
      <c r="JT16" s="95" t="s">
        <v>9</v>
      </c>
      <c r="JU16" s="96" t="s">
        <v>54</v>
      </c>
      <c r="JV16" s="96" t="s">
        <v>49</v>
      </c>
      <c r="JW16" s="97" t="s">
        <v>49</v>
      </c>
      <c r="JZ16" s="58"/>
      <c r="KA16" s="58"/>
      <c r="KB16" s="58"/>
      <c r="KC16" s="76"/>
      <c r="KD16" s="58"/>
      <c r="KE16" s="58"/>
      <c r="KF16" s="77"/>
      <c r="KG16" s="58"/>
      <c r="KH16" s="58"/>
      <c r="KI16" s="58"/>
      <c r="KJ16" s="58"/>
      <c r="KK16" s="58"/>
      <c r="KL16" s="58"/>
      <c r="KM16" s="77"/>
      <c r="KN16" s="58"/>
      <c r="KO16" s="58"/>
      <c r="KP16" s="58"/>
      <c r="KQ16" s="58"/>
      <c r="KR16" s="58"/>
      <c r="KS16" s="58"/>
      <c r="KT16" s="58"/>
      <c r="KU16" s="58"/>
      <c r="KV16" s="58"/>
      <c r="KW16" s="58"/>
      <c r="LE16" s="82" t="str">
        <f>IF(KG14=FALSE,"",
IF($KF$14=0,"",
"• Banana volume per standard carton box (that was used as unit of measurement for estimating the Fairtrade Minimum Price for Fairtrade banana from "&amp;$KB$14&amp;"):"))</f>
        <v/>
      </c>
      <c r="LF16" s="82" t="str">
        <f>IF(KG14=FALSE,"",
IF($KF$14=0,"",
"• Volume de bananes par carton standard (qui a été utilisé comme unité de mesure pour estimer le prix minimum du commerce équitable pour les bananes Fairtrade de "&amp;$KB$14&amp;"):"))</f>
        <v/>
      </c>
      <c r="LG16" s="82" t="str">
        <f>IF(KG14=FALSE,"",
IF($KF$14=0,"",
"• Volume de bananas por caixa padrão (que foi utilizada como unidade de medida para estimar o Preço Mínimo de Comércio Justo para bananas de Comércio Justo de "&amp;$KB$14&amp;"):"))</f>
        <v/>
      </c>
      <c r="LH16" s="82" t="str">
        <f>IF(KG14=FALSE,"",
IF($KF$14=0,"",
"• Volumen de banano por caja de cartón estándar (que se utilizó como unidad de medida para estimar el Precio Mínimo Fairtrade para banano Fairtrade de "&amp;$KB$14&amp;"):"))</f>
        <v/>
      </c>
    </row>
    <row r="17" spans="1:320" x14ac:dyDescent="0.3">
      <c r="A17" s="41"/>
      <c r="B17" s="16" t="str">
        <f t="shared" si="2"/>
        <v/>
      </c>
      <c r="C17" s="11"/>
      <c r="D17" s="12"/>
      <c r="E17" s="42"/>
      <c r="JE17" s="98" t="str">
        <f>JQ15&amp;JP19</f>
        <v>Englishbanana biológica de comércio justo</v>
      </c>
      <c r="JF17" s="99" t="str">
        <f t="shared" ref="JF17:JF19" si="4">JF15</f>
        <v>organic Fairtrade banana</v>
      </c>
      <c r="JG17" s="1" t="s">
        <v>28</v>
      </c>
      <c r="JO17" s="69" t="str">
        <f t="shared" si="3"/>
        <v>Françaisbanane biologique du commerce équitable</v>
      </c>
      <c r="JP17" s="131" t="str">
        <f>JU21</f>
        <v>banane biologique du commerce équitable</v>
      </c>
      <c r="JQ17" s="106" t="str">
        <f>JU4</f>
        <v>Français</v>
      </c>
      <c r="JT17" s="95" t="s">
        <v>5</v>
      </c>
      <c r="JU17" s="96" t="s">
        <v>5</v>
      </c>
      <c r="JV17" s="96" t="s">
        <v>58</v>
      </c>
      <c r="JW17" s="97" t="s">
        <v>5</v>
      </c>
      <c r="LE17" s="82" t="s">
        <v>13</v>
      </c>
      <c r="LF17" s="82" t="s">
        <v>71</v>
      </c>
      <c r="LG17" s="82" t="s">
        <v>70</v>
      </c>
      <c r="LH17" s="82" t="s">
        <v>36</v>
      </c>
    </row>
    <row r="18" spans="1:320" ht="30.75" customHeight="1" x14ac:dyDescent="0.3">
      <c r="A18" s="41"/>
      <c r="B18" s="10" t="str">
        <f t="shared" si="2"/>
        <v/>
      </c>
      <c r="C18" s="17" t="str">
        <f>IF(OR($JG$8,ISBLANK($D$2)),"",
IF(AND($C$10=$KL$5,$KF$14=0),"",
IF($C$10=$KL$5,$KF$14,
IF(AND($C$10=$KL$6,$KM$14=0),"",
IF($C$10=$KL$6,$KM$14,"")))))</f>
        <v/>
      </c>
      <c r="D18" s="12" t="str">
        <f>D15</f>
        <v/>
      </c>
      <c r="E18" s="42"/>
      <c r="JE18" s="98" t="str">
        <f>JQ14&amp;JP20</f>
        <v>Englishbanano Fairtrade convencional</v>
      </c>
      <c r="JF18" s="99" t="str">
        <f t="shared" si="4"/>
        <v>conventional Fairtrade banana</v>
      </c>
      <c r="JG18" s="1" t="s">
        <v>28</v>
      </c>
      <c r="JO18" s="69" t="str">
        <f t="shared" si="3"/>
        <v>Portuguêsbanana convencional de comércio justo</v>
      </c>
      <c r="JP18" s="131" t="str">
        <f>JV20</f>
        <v>banana convencional de comércio justo</v>
      </c>
      <c r="JQ18" s="106" t="str">
        <f>JV4</f>
        <v>Português</v>
      </c>
      <c r="JT18" s="98"/>
      <c r="JU18" s="94"/>
      <c r="JV18" s="94"/>
      <c r="JW18" s="99"/>
      <c r="KB18" s="78"/>
      <c r="LE18" s="82" t="str">
        <f>IF(KG14=FALSE,"",
IF($KF$14=0,"",
"• "&amp;$C$10&amp;" Fairtrade Minimum Price "&amp;$KA$4&amp;", in US dollars per box of "&amp;$C$16&amp;"kg of "&amp;$C$9&amp;" from "&amp;$KB$14&amp;":"))</f>
        <v/>
      </c>
      <c r="LF18" s="82" t="str">
        <f>IF(KG14=FALSE,"",
IF($KF$14=0,"",
"• "&amp;$C$10&amp;" Prix minimum Fairtrade "&amp;$KA$4&amp;", en dollars US par cas de "&amp;$C$16&amp;"kg de "&amp;$C$9&amp;" de "&amp;$KB$14&amp;":"))</f>
        <v/>
      </c>
      <c r="LG18" s="82" t="str">
        <f>IF(KG14=FALSE,"",
IF($KF$14=0,"",
"• "&amp;$C$10&amp;" Preço Mínimo de Comércio Justo "&amp;$KA$4&amp;", em dólares americanos por caixa de "&amp;$C$16&amp;"kg de "&amp;$C$9&amp;" de "&amp;$KB$14&amp;":"))</f>
        <v/>
      </c>
      <c r="LH18" s="82" t="str">
        <f>IF(KG14=FALSE,"",
IF($KF$14=0,"",
"• "&amp;$C$10&amp;" Precio Mínimo Fairtrade "&amp;$KA$4&amp;", en US dólares por caja de "&amp;$C$16&amp;"kg de "&amp;$C$9&amp;" de "&amp;$KB$14&amp;":"))</f>
        <v/>
      </c>
    </row>
    <row r="19" spans="1:320" ht="33.75" customHeight="1" x14ac:dyDescent="0.3">
      <c r="A19" s="41"/>
      <c r="B19" s="13" t="str">
        <f t="shared" si="2"/>
        <v/>
      </c>
      <c r="C19" s="18" t="str">
        <f>IF(KG14=FALSE,"",
IF(OR($C$10=$KL$6,$C$18=""),"",
IF($C$10=$KL$5,$KM$14,"")))</f>
        <v/>
      </c>
      <c r="D19" s="15" t="str">
        <f>IF(KG14=FALSE,"",
IF(OR($C$10=$KL$6,$C$18=""),"",D18))</f>
        <v/>
      </c>
      <c r="E19" s="42"/>
      <c r="JE19" s="98" t="str">
        <f>JQ15&amp;JP21</f>
        <v xml:space="preserve">Englishbanano Fairtrade orgánico </v>
      </c>
      <c r="JF19" s="99" t="str">
        <f t="shared" si="4"/>
        <v>organic Fairtrade banana</v>
      </c>
      <c r="JG19" s="1" t="s">
        <v>28</v>
      </c>
      <c r="JO19" s="69" t="str">
        <f t="shared" si="3"/>
        <v>Portuguêsbanana biológica de comércio justo</v>
      </c>
      <c r="JP19" s="131" t="str">
        <f>JV21</f>
        <v>banana biológica de comércio justo</v>
      </c>
      <c r="JQ19" s="106" t="str">
        <f>JV4</f>
        <v>Português</v>
      </c>
      <c r="JT19" s="100" t="s">
        <v>16</v>
      </c>
      <c r="JU19" s="101" t="s">
        <v>62</v>
      </c>
      <c r="JV19" s="101" t="s">
        <v>59</v>
      </c>
      <c r="JW19" s="102" t="s">
        <v>42</v>
      </c>
      <c r="KB19" s="78"/>
      <c r="LE19" s="82" t="str">
        <f>IF(KG14=FALSE,"",
IF(OR($C$10=$KL$6,$C$18=""),"",
"• Ex Works Fairtrade Minimum Price "&amp;$KA$4&amp;", in US dollars per box of "&amp;$C$16&amp;"kg of "&amp;$C$9&amp;" from "&amp;$KB$14&amp;":"))</f>
        <v/>
      </c>
      <c r="LF19" s="82" t="str">
        <f>IF(KG14=FALSE,"",
IF(OR($C$10=$KL$6,$C$18=""),"",
"• Prix minimum Fairtrade Ex Works "&amp;$KA$4&amp;", en dollars US par cas de "&amp;$C$16&amp;"kg de "&amp;$C$9&amp;" de "&amp;$KB$14&amp;":"))</f>
        <v/>
      </c>
      <c r="LG19" s="82" t="str">
        <f>IF(KG14=FALSE,"",
IF(OR($C$10=$KL$6,$C$18=""),"",
"• Preço Mínimo Fairtrade Ex Works "&amp;$KA$4&amp;", em dólares americanos por caixa de "&amp;$C$16&amp;"kg de "&amp;$C$9&amp;" de "&amp;$KB$14&amp;":"))</f>
        <v/>
      </c>
      <c r="LH19" s="82" t="str">
        <f>IF(KG14=FALSE,"",
IF(OR($C$10=$KL$6,$C$18=""),"",
"• Precio Mínimo Fairtrade Ex Works "&amp;$KA$4&amp;", en US dólares por caja de "&amp;$C$16&amp;"kg de "&amp;$C$9&amp;" de "&amp;$KB$14&amp;":"))</f>
        <v/>
      </c>
    </row>
    <row r="20" spans="1:320" ht="15.6" x14ac:dyDescent="0.3">
      <c r="A20" s="41"/>
      <c r="B20" s="19" t="str">
        <f t="shared" si="2"/>
        <v/>
      </c>
      <c r="C20" s="17"/>
      <c r="D20" s="12"/>
      <c r="E20" s="42"/>
      <c r="JE20" s="98" t="str">
        <f>JQ16&amp;JP14</f>
        <v>Françaisconventional Fairtrade banana</v>
      </c>
      <c r="JF20" s="99" t="str">
        <f>JP16</f>
        <v>banane conventionnelle du commerce équitable</v>
      </c>
      <c r="JG20" s="1" t="s">
        <v>28</v>
      </c>
      <c r="JO20" s="69" t="str">
        <f t="shared" si="3"/>
        <v>Españolbanano Fairtrade convencional</v>
      </c>
      <c r="JP20" s="131" t="str">
        <f>JW20</f>
        <v>banano Fairtrade convencional</v>
      </c>
      <c r="JQ20" s="106" t="str">
        <f>JW4</f>
        <v>Español</v>
      </c>
      <c r="JT20" s="100" t="s">
        <v>11</v>
      </c>
      <c r="JU20" s="120" t="s">
        <v>63</v>
      </c>
      <c r="JV20" s="120" t="s">
        <v>60</v>
      </c>
      <c r="JW20" s="102" t="s">
        <v>43</v>
      </c>
      <c r="KB20" s="78"/>
      <c r="LE20" s="82" t="s">
        <v>15</v>
      </c>
      <c r="LF20" s="82" t="s">
        <v>72</v>
      </c>
      <c r="LG20" s="82" t="s">
        <v>73</v>
      </c>
      <c r="LH20" s="82" t="s">
        <v>37</v>
      </c>
    </row>
    <row r="21" spans="1:320" ht="33.6" customHeight="1" x14ac:dyDescent="0.3">
      <c r="A21" s="41"/>
      <c r="B21" s="20" t="str">
        <f t="shared" si="2"/>
        <v/>
      </c>
      <c r="C21" s="3"/>
      <c r="D21" s="12" t="str">
        <f>D16</f>
        <v/>
      </c>
      <c r="E21" s="42"/>
      <c r="JE21" s="98" t="str">
        <f>JQ17&amp;JP15</f>
        <v>Françaisorganic Fairtrade banana</v>
      </c>
      <c r="JF21" s="99" t="str">
        <f>JP17</f>
        <v>banane biologique du commerce équitable</v>
      </c>
      <c r="JG21" s="1" t="s">
        <v>28</v>
      </c>
      <c r="JH21" s="128"/>
      <c r="JK21" s="128"/>
      <c r="JO21" s="71" t="str">
        <f t="shared" si="3"/>
        <v xml:space="preserve">Españolbanano Fairtrade orgánico </v>
      </c>
      <c r="JP21" s="131" t="str">
        <f>JW21</f>
        <v xml:space="preserve">banano Fairtrade orgánico </v>
      </c>
      <c r="JQ21" s="106" t="str">
        <f>JW4</f>
        <v>Español</v>
      </c>
      <c r="JT21" s="100" t="s">
        <v>12</v>
      </c>
      <c r="JU21" s="120" t="s">
        <v>98</v>
      </c>
      <c r="JV21" s="120" t="s">
        <v>61</v>
      </c>
      <c r="JW21" s="102" t="s">
        <v>44</v>
      </c>
      <c r="LE21" s="82" t="str">
        <f>IF(KG14=FALSE,"",
IF($KF$14=0,"",
"• Banana volume per special carton box (for which the Fairtrade Minimum Price will be prorated):"))</f>
        <v/>
      </c>
      <c r="LF21" s="82" t="str">
        <f>IF(KG14=FALSE,"",
IF($KF$14=0,"",
"• Volume de bananes par carton spécial (pour lequel le prix minimum Fairtrade sera calculé au prorata):"))</f>
        <v/>
      </c>
      <c r="LG21" s="82" t="str">
        <f>IF(KG14=FALSE,"",
IF($KF$14=0,"",
"• Volume de bananas por caixa especial (para a qual o Preço Mínimo de Comércio Justo será pro-rated):"))</f>
        <v/>
      </c>
      <c r="LH21" s="82" t="str">
        <f>IF(KG14=FALSE,"",
IF($KF$14=0,"",
"• Volumen de banano por caja de cartón especial (para la cual el Precio Mínimo Fairtrade será prorrateado):"))</f>
        <v/>
      </c>
    </row>
    <row r="22" spans="1:320" ht="33.75" customHeight="1" x14ac:dyDescent="0.3">
      <c r="A22" s="41"/>
      <c r="B22" s="21" t="str">
        <f t="shared" si="2"/>
        <v/>
      </c>
      <c r="C22" s="4"/>
      <c r="D22" s="15" t="str">
        <f>IF(KG14=FALSE,"",
IF(D15="","",
IF(ISBLANK($C$21),"","USD/box"&amp;$C$21&amp;"kg")))</f>
        <v/>
      </c>
      <c r="E22" s="42"/>
      <c r="JE22" s="98" t="str">
        <f>JQ16&amp;JP18</f>
        <v>Françaisbanana convencional de comércio justo</v>
      </c>
      <c r="JF22" s="99" t="str">
        <f>JF20</f>
        <v>banane conventionnelle du commerce équitable</v>
      </c>
      <c r="JG22" s="1" t="s">
        <v>28</v>
      </c>
      <c r="JH22" s="65" t="str">
        <f t="shared" ref="JH22:JH29" si="5">JQ22&amp;JP30</f>
        <v>EnglishPanama</v>
      </c>
      <c r="JI22" s="67" t="str">
        <f t="shared" ref="JI22:JI29" si="6">JP22</f>
        <v>Panama</v>
      </c>
      <c r="JK22" s="59"/>
      <c r="JL22" s="59"/>
      <c r="JO22" s="65" t="str">
        <f t="shared" si="3"/>
        <v>EnglishPanama</v>
      </c>
      <c r="JP22" s="67" t="str">
        <f t="shared" ref="JP22:JP29" si="7">JT10</f>
        <v>Panama</v>
      </c>
      <c r="JQ22" s="105" t="str">
        <f>JT4</f>
        <v>English</v>
      </c>
      <c r="JT22" s="98" t="s">
        <v>82</v>
      </c>
      <c r="JU22" s="94" t="s">
        <v>83</v>
      </c>
      <c r="JV22" s="94" t="s">
        <v>84</v>
      </c>
      <c r="JW22" s="99" t="s">
        <v>88</v>
      </c>
      <c r="JX22" s="89" t="str">
        <f>IF($D$2=$KZ$4,JT22,
IF($D$2=$KZ$5,JU22,
IF($D$2=$KZ$6,JV22,
JW22)))</f>
        <v>orgánica</v>
      </c>
      <c r="LE22" s="82" t="str">
        <f>IF(KG14=FALSE,"",
IF($KF$14=0,"",
IF(ISBLANK($C$21),"",
IF($C$10=$KL$5,
"• Price of the special carton box ("&amp;VLOOKUP($C$8,$KB$5:$KE$12,4,FALSE)&amp;" the value added tax), paid by the producer that exports by themselves:",
IF($C$10=$KL$6,
"• Price of the special carton box ("&amp;VLOOKUP($C$8,$KB$5:$KE$12,4,FALSE)&amp;" the value added tax), paid by the producer at Ex Works level:")))))</f>
        <v/>
      </c>
      <c r="LF22" s="82" t="str">
        <f>IF(KG14=FALSE,"",
IF($KF$14=0,"",
IF(ISBLANK($C$21),"",
IF($C$10=$KL$5,
"• Prix spécial pour les boîtes en carton ("&amp;VLOOKUP($C$8,$KB$5:$KE$12,4,FALSE)&amp;" la taxe sur la valeur ajoutée), payée par le producteur qui exporte lui-même:",
IF($C$10=$KL$6,
"• Prix spécial pour les boîtes en carton ("&amp;VLOOKUP($C$8,$KB$5:$KE$12,4,FALSE)&amp;" taxe sur la valeur ajoutée), payé par le producteur au niveau Ex Works:")))))</f>
        <v/>
      </c>
      <c r="LG22" s="82" t="str">
        <f>IF(KG14=FALSE,"",
IF($KF$14=0,"",
IF(ISBLANK($C$21),"",
IF($C$10=$KL$5,
"• Preço de caixa de cartão especial ("&amp;VLOOKUP($C$8,$KB$5:$KE$12,4,FALSE)&amp;" o imposto sobre o valor acrescentado), pago pelo próprio produtor que exporta:",
IF($C$10=$KL$6,
"• Preço de caixa de cartão especial ("&amp;VLOOKUP($C$8,$KB$5:$KE$12,4,FALSE)&amp;" imposto sobre o valor acrescentado), pago pelo produtor a nível de Ex Works:")))))</f>
        <v/>
      </c>
      <c r="LH22" s="82" t="str">
        <f>IF(KG14=FALSE,"",
IF($KF$14=0,"",
IF(ISBLANK($C$21),"",
IF($C$10=$KL$5,
"• Precio de la caja de cartón especial ("&amp;VLOOKUP($C$8,$KB$5:$KE$12,4,FALSE)&amp;" el impuesto al valor agregado), pagado por el productor que exporta por sí mismo:",
IF($C$10=$KL$6,
"• Precio de la caja de cartón especial ("&amp;VLOOKUP($C$8,$KB$5:$KE$12,4,FALSE)&amp;" el impuesto al valor agregado), pagado por el productor a nivel Ex Works:")))))</f>
        <v/>
      </c>
    </row>
    <row r="23" spans="1:320" ht="15" customHeight="1" x14ac:dyDescent="0.3">
      <c r="A23" s="41"/>
      <c r="B23" s="22" t="str">
        <f t="shared" si="2"/>
        <v/>
      </c>
      <c r="C23" s="25"/>
      <c r="D23" s="12"/>
      <c r="E23" s="42"/>
      <c r="JE23" s="98" t="str">
        <f>JQ17&amp;JP19</f>
        <v>Françaisbanana biológica de comércio justo</v>
      </c>
      <c r="JF23" s="99" t="str">
        <f t="shared" ref="JF23:JF25" si="8">JF21</f>
        <v>banane biologique du commerce équitable</v>
      </c>
      <c r="JG23" s="1" t="s">
        <v>28</v>
      </c>
      <c r="JH23" s="69" t="str">
        <f t="shared" si="5"/>
        <v>EnglishPérou</v>
      </c>
      <c r="JI23" s="70" t="str">
        <f t="shared" si="6"/>
        <v>Peru</v>
      </c>
      <c r="JK23" s="59"/>
      <c r="JL23" s="59"/>
      <c r="JO23" s="69" t="str">
        <f t="shared" si="3"/>
        <v>EnglishPeru</v>
      </c>
      <c r="JP23" s="70" t="str">
        <f t="shared" si="7"/>
        <v>Peru</v>
      </c>
      <c r="JQ23" s="106" t="str">
        <f>JT4</f>
        <v>English</v>
      </c>
      <c r="JT23" s="103" t="s">
        <v>85</v>
      </c>
      <c r="JU23" s="104" t="s">
        <v>86</v>
      </c>
      <c r="JV23" s="104" t="s">
        <v>87</v>
      </c>
      <c r="JW23" s="90" t="s">
        <v>87</v>
      </c>
      <c r="JX23" s="90" t="str">
        <f>IF($D$2=$KZ$4,JT23,
IF($D$2=$KZ$5,JU23,
IF($D$2=$KZ$6,JV23,
JW23)))</f>
        <v>convencional</v>
      </c>
      <c r="LE23" s="82" t="s">
        <v>32</v>
      </c>
      <c r="LF23" s="82" t="s">
        <v>75</v>
      </c>
      <c r="LG23" s="82" t="s">
        <v>74</v>
      </c>
      <c r="LH23" s="82" t="s">
        <v>38</v>
      </c>
    </row>
    <row r="24" spans="1:320" ht="20.399999999999999" customHeight="1" x14ac:dyDescent="0.3">
      <c r="A24" s="41"/>
      <c r="B24" s="135" t="str">
        <f t="shared" si="2"/>
        <v/>
      </c>
      <c r="C24" s="26" t="str">
        <f>IF(KG14=FALSE,"",
IF($JZ$14,"",
IF($C$18="","",
IF($C$10=$KL$5,ROUND((((C18-C15)/C16)*C21)+C22,2),
IF($C$10=$KL$6,ROUND((((C18)/C16)*C21),2))))))</f>
        <v/>
      </c>
      <c r="D24" s="23" t="str">
        <f>IF(KG14=FALSE,"",
IF($JZ$14,"",
D22))</f>
        <v/>
      </c>
      <c r="E24" s="42"/>
      <c r="JE24" s="98" t="str">
        <f>JQ16&amp;JP20</f>
        <v>Françaisbanano Fairtrade convencional</v>
      </c>
      <c r="JF24" s="99" t="str">
        <f t="shared" si="8"/>
        <v>banane conventionnelle du commerce équitable</v>
      </c>
      <c r="JG24" s="1" t="s">
        <v>28</v>
      </c>
      <c r="JH24" s="69" t="str">
        <f t="shared" si="5"/>
        <v>EnglishColombie</v>
      </c>
      <c r="JI24" s="70" t="str">
        <f t="shared" si="6"/>
        <v>Colombia</v>
      </c>
      <c r="JK24" s="59"/>
      <c r="JL24" s="59"/>
      <c r="JO24" s="69" t="str">
        <f t="shared" si="3"/>
        <v>EnglishColombia</v>
      </c>
      <c r="JP24" s="70" t="str">
        <f t="shared" si="7"/>
        <v>Colombia</v>
      </c>
      <c r="JQ24" s="106" t="str">
        <f>JT4</f>
        <v>English</v>
      </c>
      <c r="JU24" s="1" t="s">
        <v>28</v>
      </c>
      <c r="LE24" s="82" t="str">
        <f>IF(KG14=FALSE,"",
IF($KF$14=0,"",
IF($JZ$14,"",
"• Prorated "&amp;$C$10&amp;" Fairtrade Minimum Price "&amp;$KA$4&amp;" per special carton box of "&amp;$C$21&amp;"kg of "&amp;$C$9&amp;" from "&amp;C8&amp;":")))</f>
        <v/>
      </c>
      <c r="LF24" s="82" t="str">
        <f>IF(KG14=FALSE,"",
IF($KF$14=0,"",
IF($JZ$14,"",
"• Prix minimum Fairtrade "&amp;$C$10&amp;" "&amp;$KA$4&amp;" Répartition pour une boîte en carton spéciale de "&amp;$C$21&amp;"kg de "&amp;$C$9&amp;" de "&amp;C8&amp;":")))</f>
        <v/>
      </c>
      <c r="LG24" s="82" t="str">
        <f>IF(KG14=FALSE,"",
IF($KF$14=0,"",
IF($JZ$14,"",
"• Preço Mínimo Fairtrade "&amp;$C$10&amp;" "&amp;$KA$4&amp;" Distribuída por caixa de cartão especial de "&amp;$C$21&amp;"kg de "&amp;$C$9&amp;" de "&amp;C8&amp;":")))</f>
        <v/>
      </c>
      <c r="LH24" s="82" t="str">
        <f>IF(KG14=FALSE,"",
IF($KF$14=0,"",
IF($JZ$14,"",
"• Precio Mínimo Fairtrade "&amp;$C$10&amp;" "&amp;$KA$4&amp;" Prorrateado para caja de cartón especial de "&amp;$C$21&amp;"kg de "&amp;$C$9&amp;" de "&amp;C8&amp;":")))</f>
        <v/>
      </c>
    </row>
    <row r="25" spans="1:320" ht="20.399999999999999" customHeight="1" x14ac:dyDescent="0.3">
      <c r="A25" s="41"/>
      <c r="B25" s="135"/>
      <c r="C25" s="27" t="str">
        <f>IF(KG14=FALSE,"",
IF($JZ$14,"",
IF($C$18="","",
IF($C$10=$KL$5," = [("&amp;$C$18&amp;"-"&amp;$C$15&amp;")/"&amp;$C$16&amp;"]*"&amp;$C$21&amp;"+"&amp;ROUND($C$22,2)&amp;" = "&amp;$C$24,
IF($C$10=$KL$6," = ("&amp;$C$18&amp;")/"&amp;$C$16&amp;"*"&amp;$C$21&amp;" = "&amp;$C$24)))))</f>
        <v/>
      </c>
      <c r="D25" s="12"/>
      <c r="E25" s="42"/>
      <c r="JE25" s="98" t="str">
        <f>JQ17&amp;JP21</f>
        <v xml:space="preserve">Françaisbanano Fairtrade orgánico </v>
      </c>
      <c r="JF25" s="99" t="str">
        <f t="shared" si="8"/>
        <v>banane biologique du commerce équitable</v>
      </c>
      <c r="JG25" s="1" t="s">
        <v>28</v>
      </c>
      <c r="JH25" s="69" t="str">
        <f t="shared" si="5"/>
        <v>EnglishÉquateur</v>
      </c>
      <c r="JI25" s="70" t="str">
        <f t="shared" si="6"/>
        <v>Ecuador</v>
      </c>
      <c r="JK25" s="59"/>
      <c r="JL25" s="59"/>
      <c r="JO25" s="69" t="str">
        <f t="shared" si="3"/>
        <v>EnglishEcuador</v>
      </c>
      <c r="JP25" s="70" t="str">
        <f t="shared" si="7"/>
        <v>Ecuador</v>
      </c>
      <c r="JQ25" s="106" t="str">
        <f>JT4</f>
        <v>English</v>
      </c>
      <c r="JU25" s="1" t="s">
        <v>28</v>
      </c>
    </row>
    <row r="26" spans="1:320" ht="20.399999999999999" customHeight="1" x14ac:dyDescent="0.3">
      <c r="A26" s="41"/>
      <c r="B26" s="135" t="str">
        <f>IF(OR($JG$8,ISBLANK($D$2)),"",
IF($D$2=$KZ$4,LE26,
IF($D$2=$KZ$5,LF26,
IF($D$2=$KZ$6,LG26,
LH26))))</f>
        <v/>
      </c>
      <c r="C26" s="26" t="str">
        <f>IF(KG14=FALSE,"",
IF($JZ$14,"",
IF(OR($C$10=$KL$6,$C$18=""),"",
ROUND((((KM14)/C16)*C21),2))))</f>
        <v/>
      </c>
      <c r="D26" s="23" t="str">
        <f>IF(KG14=FALSE,"",
IF(OR($C$10=$KL$6,$C$18=""),"",
D24))</f>
        <v/>
      </c>
      <c r="E26" s="42"/>
      <c r="JE26" s="98" t="str">
        <f>JQ18&amp;JP14</f>
        <v>Portuguêsconventional Fairtrade banana</v>
      </c>
      <c r="JF26" s="99" t="str">
        <f>JP18</f>
        <v>banana convencional de comércio justo</v>
      </c>
      <c r="JG26" s="1" t="s">
        <v>28</v>
      </c>
      <c r="JH26" s="69" t="str">
        <f t="shared" si="5"/>
        <v>EnglishÎles du Vent</v>
      </c>
      <c r="JI26" s="70" t="str">
        <f t="shared" si="6"/>
        <v>Windward Islands</v>
      </c>
      <c r="JK26" s="59"/>
      <c r="JL26" s="59"/>
      <c r="JO26" s="69" t="str">
        <f t="shared" si="3"/>
        <v>EnglishWindward Islands</v>
      </c>
      <c r="JP26" s="70" t="str">
        <f t="shared" si="7"/>
        <v>Windward Islands</v>
      </c>
      <c r="JQ26" s="106" t="str">
        <f>JT4</f>
        <v>English</v>
      </c>
      <c r="JU26" s="1" t="s">
        <v>28</v>
      </c>
      <c r="LE26" s="82" t="str">
        <f>IF(KG14=FALSE,"",
IF($KF$14=0,"",
IF($JZ$14,"",
IF(OR($C$10=$KL$6,$C$18=""),"",
"• Prorated Ex Works Fairtrade Minimum Price "&amp;$KA$4&amp;" per special carton box of "&amp;$C$21&amp;"kg of "&amp;$C$9&amp;" from "&amp;C8&amp;":"))))</f>
        <v/>
      </c>
      <c r="LF26" s="82" t="str">
        <f>IF(KG14=FALSE,"",
IF($KF$14=0,"",
IF($JZ$14,"",
IF(OR($C$10=$KL$6,$C$18=""),"",
"• Prix minimum Fairtrade Ex Works "&amp;$KA$4&amp;" Répartition pour une boîte en carton spéciale de "&amp;$C$21&amp;"kg de "&amp;$C$9&amp;" de "&amp;C8&amp;":"))))</f>
        <v/>
      </c>
      <c r="LG26" s="82" t="str">
        <f>IF(KG14=FALSE,"",
IF($KF$14=0,"",
IF($JZ$14,"",
IF(OR($C$10=$KL$6,$C$18=""),"",
"• Preço Mínimo Fairtrade Ex Works "&amp;$KA$4&amp;" Distribuída por caixa de cartão especial de "&amp;$C$21&amp;"kg de "&amp;$C$9&amp;" de "&amp;C8&amp;":"))))</f>
        <v/>
      </c>
      <c r="LH26" s="82" t="str">
        <f>IF(KG14=FALSE,"",
IF($KF$14=0,"",
IF($JZ$14,"",
IF(OR($C$10=$KL$6,$C$18=""),"",
"• Precio Mínimo Fairtrade Ex Works "&amp;$KA$4&amp;" Prorrateado para caja de cartón especial de "&amp;$C$21&amp;"kg de "&amp;$C$9&amp;" de "&amp;C8&amp;":"))))</f>
        <v/>
      </c>
    </row>
    <row r="27" spans="1:320" ht="20.399999999999999" customHeight="1" x14ac:dyDescent="0.5">
      <c r="A27" s="41"/>
      <c r="B27" s="135"/>
      <c r="C27" s="27" t="str">
        <f>IF(KG14=FALSE,"",
IF($JZ$14,"",
IF(OR($C$10=$KL$6,$C$18=""),"",
" = ["&amp;$KM$14&amp;"/"&amp;$C$16&amp;"]*"&amp;$C$21&amp;" = "&amp;$C$26)))</f>
        <v/>
      </c>
      <c r="D27" s="12"/>
      <c r="E27" s="42"/>
      <c r="JE27" s="98" t="str">
        <f>JQ19&amp;JP15</f>
        <v>Portuguêsorganic Fairtrade banana</v>
      </c>
      <c r="JF27" s="99" t="str">
        <f>JP19</f>
        <v>banana biológica de comércio justo</v>
      </c>
      <c r="JG27" s="1" t="s">
        <v>28</v>
      </c>
      <c r="JH27" s="69" t="str">
        <f t="shared" si="5"/>
        <v>EnglishCosta Rica</v>
      </c>
      <c r="JI27" s="70" t="str">
        <f t="shared" si="6"/>
        <v>Costa Rica</v>
      </c>
      <c r="JK27" s="59"/>
      <c r="JL27" s="59"/>
      <c r="JO27" s="69" t="str">
        <f t="shared" si="3"/>
        <v>EnglishCosta Rica</v>
      </c>
      <c r="JP27" s="70" t="str">
        <f t="shared" si="7"/>
        <v>Costa Rica</v>
      </c>
      <c r="JQ27" s="106" t="str">
        <f>JT4</f>
        <v>English</v>
      </c>
      <c r="JU27" s="1" t="s">
        <v>28</v>
      </c>
      <c r="JX27" s="2"/>
    </row>
    <row r="28" spans="1:320" ht="20.399999999999999" customHeight="1" x14ac:dyDescent="0.5">
      <c r="A28" s="41"/>
      <c r="B28" s="135" t="str">
        <f>IF(OR($JG$8,ISBLANK($D$2)),"",
IF($D$2=$KZ$4,LE28,
IF($D$2=$KZ$5,LF28,
IF($D$2=$KZ$6,LG28,
LH28))))</f>
        <v/>
      </c>
      <c r="C28" s="26" t="str">
        <f>IF(KG14=FALSE,"",
IF($JZ$14,"",
IF(D15="","",
ROUND(C21/C16,2))))</f>
        <v/>
      </c>
      <c r="D28" s="23" t="str">
        <f>D26</f>
        <v/>
      </c>
      <c r="E28" s="42"/>
      <c r="JE28" s="98" t="str">
        <f>JQ18&amp;JP16</f>
        <v>Portuguêsbanane conventionnelle du commerce équitable</v>
      </c>
      <c r="JF28" s="99" t="str">
        <f>JF26</f>
        <v>banana convencional de comércio justo</v>
      </c>
      <c r="JG28" s="1" t="s">
        <v>28</v>
      </c>
      <c r="JH28" s="69" t="str">
        <f t="shared" si="5"/>
        <v>EnglishRépublique dominicaine</v>
      </c>
      <c r="JI28" s="70" t="str">
        <f t="shared" si="6"/>
        <v>Dominican Republic</v>
      </c>
      <c r="JK28" s="59"/>
      <c r="JL28" s="59"/>
      <c r="JO28" s="69" t="str">
        <f t="shared" si="3"/>
        <v>EnglishDominican Republic</v>
      </c>
      <c r="JP28" s="70" t="str">
        <f t="shared" si="7"/>
        <v>Dominican Republic</v>
      </c>
      <c r="JQ28" s="106" t="str">
        <f>JT4</f>
        <v>English</v>
      </c>
      <c r="JX28" s="2"/>
      <c r="LE28" s="82" t="str">
        <f>IF(KG14=FALSE,"",
IF($KF$14=0,"",
IF($JZ$14,"",
IF(OR($C$10=$KL$6,$C$18=""),"",
"• Prorated Fairtrade Premium "&amp;$KA$4&amp;" per special carton box of "&amp;$C$21&amp;"kg of "&amp;$C$9&amp;" from "&amp;C8&amp;":"))))</f>
        <v/>
      </c>
      <c r="LF28" s="82" t="str">
        <f>IF(KG14=FALSE,"",
IF($KF$14=0,"",
IF($JZ$14,"",
IF(OR($C$10=$KL$6,$C$18=""),"",
"• Prime Fairtrade "&amp;$KA$4&amp;" u prorata par boîte en carton spéciale de "&amp;$C$21&amp;"kg de "&amp;$C$9&amp;" de "&amp;C8&amp;":"))))</f>
        <v/>
      </c>
      <c r="LG28" s="82" t="str">
        <f>IF(KG14=FALSE,"",
IF($KF$14=0,"",
IF($JZ$14,"",
IF(OR($C$10=$KL$6,$C$18=""),"",
"• Prémio Fairtrade "&amp;$KA$4&amp;" Prorated por caixa de cartão especial de "&amp;$C$21&amp;"kg de "&amp;$C$9&amp;" de "&amp;C8&amp;":"))))</f>
        <v/>
      </c>
      <c r="LH28" s="82" t="str">
        <f>IF(KG14=FALSE,"",
IF($KF$14=0,"",
IF($JZ$14,"",
IF(OR($C$10=$KL$6,$C$18=""),"",
"• Prima Fairtrade "&amp;$KA$4&amp;" Prorrateada por caja especial de cartón de "&amp;$C$21&amp;"kg de "&amp;$C$9&amp;" de "&amp;C8&amp;":"))))</f>
        <v/>
      </c>
    </row>
    <row r="29" spans="1:320" ht="20.399999999999999" customHeight="1" thickBot="1" x14ac:dyDescent="0.55000000000000004">
      <c r="A29" s="41"/>
      <c r="B29" s="136"/>
      <c r="C29" s="28" t="str">
        <f>IF(C28="","","= "&amp;C21&amp;"/"&amp;C16&amp;" = "&amp;C28)</f>
        <v/>
      </c>
      <c r="D29" s="24"/>
      <c r="E29" s="42"/>
      <c r="JE29" s="98" t="str">
        <f>JQ19&amp;JP17</f>
        <v>Portuguêsbanane biologique du commerce équitable</v>
      </c>
      <c r="JF29" s="99" t="str">
        <f t="shared" ref="JF29:JF31" si="9">JF27</f>
        <v>banana biológica de comércio justo</v>
      </c>
      <c r="JG29" s="1" t="s">
        <v>28</v>
      </c>
      <c r="JH29" s="69" t="str">
        <f t="shared" si="5"/>
        <v>EnglishNicaragua</v>
      </c>
      <c r="JI29" s="70" t="str">
        <f t="shared" si="6"/>
        <v>Nicaragua</v>
      </c>
      <c r="JK29" s="59"/>
      <c r="JL29" s="59"/>
      <c r="JO29" s="69" t="str">
        <f t="shared" si="3"/>
        <v>EnglishNicaragua</v>
      </c>
      <c r="JP29" s="70" t="str">
        <f t="shared" si="7"/>
        <v>Nicaragua</v>
      </c>
      <c r="JQ29" s="106" t="str">
        <f>JT4</f>
        <v>English</v>
      </c>
      <c r="JX29" s="2"/>
    </row>
    <row r="30" spans="1:320" ht="15" thickBot="1" x14ac:dyDescent="0.35">
      <c r="A30" s="41"/>
      <c r="B30" s="47"/>
      <c r="C30" s="48"/>
      <c r="D30" s="48"/>
      <c r="E30" s="42"/>
      <c r="JE30" s="98" t="str">
        <f>JQ18&amp;JP20</f>
        <v>Portuguêsbanano Fairtrade convencional</v>
      </c>
      <c r="JF30" s="99" t="str">
        <f t="shared" si="9"/>
        <v>banana convencional de comércio justo</v>
      </c>
      <c r="JG30" s="1" t="s">
        <v>28</v>
      </c>
      <c r="JH30" s="69" t="str">
        <f t="shared" ref="JH30:JH37" si="10">JQ22&amp;JP38</f>
        <v>EnglishPanamá</v>
      </c>
      <c r="JI30" s="70" t="str">
        <f>JI22</f>
        <v>Panama</v>
      </c>
      <c r="JK30" s="59"/>
      <c r="JL30" s="59"/>
      <c r="JO30" s="69" t="str">
        <f t="shared" si="3"/>
        <v>FrançaisPanama</v>
      </c>
      <c r="JP30" s="70" t="str">
        <f t="shared" ref="JP30:JP37" si="11">JU10</f>
        <v>Panama</v>
      </c>
      <c r="JQ30" s="106" t="str">
        <f>JU4</f>
        <v>Français</v>
      </c>
      <c r="JX30" s="5"/>
    </row>
    <row r="31" spans="1:320" ht="32.25" customHeight="1" thickBot="1" x14ac:dyDescent="0.35">
      <c r="A31" s="41"/>
      <c r="B31" s="140" t="str">
        <f t="shared" ref="B31:B42" si="12">IF(OR($JG$8,ISBLANK($D$2)),"",
IF($D$2=$KZ$4,LE31,
IF($D$2=$KZ$5,LF31,
IF($D$2=$KZ$6,LG31,
LH31))))</f>
        <v/>
      </c>
      <c r="C31" s="141"/>
      <c r="D31" s="142"/>
      <c r="E31" s="42"/>
      <c r="JE31" s="98" t="str">
        <f>JQ19&amp;JP21</f>
        <v xml:space="preserve">Portuguêsbanano Fairtrade orgánico </v>
      </c>
      <c r="JF31" s="99" t="str">
        <f t="shared" si="9"/>
        <v>banana biológica de comércio justo</v>
      </c>
      <c r="JG31" s="1" t="s">
        <v>28</v>
      </c>
      <c r="JH31" s="69" t="str">
        <f t="shared" si="10"/>
        <v>EnglishPeru</v>
      </c>
      <c r="JI31" s="70" t="str">
        <f t="shared" ref="JI31:JI45" si="13">JI23</f>
        <v>Peru</v>
      </c>
      <c r="JO31" s="69" t="str">
        <f t="shared" si="3"/>
        <v>FrançaisPérou</v>
      </c>
      <c r="JP31" s="70" t="str">
        <f t="shared" si="11"/>
        <v>Pérou</v>
      </c>
      <c r="JQ31" s="106" t="str">
        <f>JU4</f>
        <v>Français</v>
      </c>
      <c r="LE31" s="82" t="str">
        <f>"EXAMPLE 2:
  PRORATE TO IFCO BOX "&amp;IF(ISBLANK($C$39),"OF __ KG (PLEASE ENTER THE WEIGHT IN KILOGRAMS IN CELL C39)","OF "&amp;$C$39&amp;"kg FOR BANANA")</f>
        <v>EXAMPLE 2:
  PRORATE TO IFCO BOX OF __ KG (PLEASE ENTER THE WEIGHT IN KILOGRAMS IN CELL C39)</v>
      </c>
      <c r="LF31" s="82" t="str">
        <f>"EXEMPLE 2 :
RÉPARTITION POUR LA CAISSE DE L'IFCO "&amp;IF(ISBLANK($C$39),"DE __ KG (ENTREZ LE POIDS EN KILOGRAMMES DANS LA CELLULE C39)","DE "&amp;$C$39&amp;"kg DE BANANE FRAÎCHE")</f>
        <v>EXEMPLE 2 :
RÉPARTITION POUR LA CAISSE DE L'IFCO DE __ KG (ENTREZ LE POIDS EN KILOGRAMMES DANS LA CELLULE C39)</v>
      </c>
      <c r="LG31" s="82" t="str">
        <f>"EXEMPLO 2:
REPARTIÇÃO PARA A CAIXA DA IFCO "&amp;IF(ISBLANK($C$39),"DE __ KG (ENTREZ LE POIDS EN KILOGRAMMES DANS LA CELLULE C39)","DE "&amp;$C$39&amp;"kg DE BANANA FRESCA")</f>
        <v>EXEMPLO 2:
REPARTIÇÃO PARA A CAIXA DA IFCO DE __ KG (ENTREZ LE POIDS EN KILOGRAMMES DANS LA CELLULE C39)</v>
      </c>
      <c r="LH31" s="82" t="str">
        <f>"EJEMPLO 2:
  PRORRATEO PARA LA CAJA IFCO "&amp;IF(ISBLANK($C$39),"DE __ KG (INGRESE EL PESO EN KILOGRAMOS EN LA CELDA C39)","DE "&amp;$C$39&amp;"kg DE BANANO FRESCO")</f>
        <v>EJEMPLO 2:
  PRORRATEO PARA LA CAJA IFCO DE __ KG (INGRESE EL PESO EN KILOGRAMOS EN LA CELDA C39)</v>
      </c>
    </row>
    <row r="32" spans="1:320" x14ac:dyDescent="0.3">
      <c r="A32" s="41"/>
      <c r="B32" s="7" t="str">
        <f t="shared" si="12"/>
        <v/>
      </c>
      <c r="C32" s="8"/>
      <c r="D32" s="9"/>
      <c r="E32" s="42"/>
      <c r="JE32" s="98" t="str">
        <f>JQ20&amp;JP14</f>
        <v>Españolconventional Fairtrade banana</v>
      </c>
      <c r="JF32" s="99" t="str">
        <f>JP20</f>
        <v>banano Fairtrade convencional</v>
      </c>
      <c r="JG32" s="1" t="s">
        <v>28</v>
      </c>
      <c r="JH32" s="69" t="str">
        <f t="shared" si="10"/>
        <v>EnglishColômbia</v>
      </c>
      <c r="JI32" s="70" t="str">
        <f t="shared" si="13"/>
        <v>Colombia</v>
      </c>
      <c r="JO32" s="69" t="str">
        <f t="shared" si="3"/>
        <v>FrançaisColombie</v>
      </c>
      <c r="JP32" s="70" t="str">
        <f t="shared" si="11"/>
        <v>Colombie</v>
      </c>
      <c r="JQ32" s="106" t="str">
        <f>JU4</f>
        <v>Français</v>
      </c>
      <c r="KB32" s="79"/>
      <c r="LE32" s="82" t="s">
        <v>31</v>
      </c>
      <c r="LF32" s="82" t="s">
        <v>68</v>
      </c>
      <c r="LG32" s="82" t="s">
        <v>69</v>
      </c>
      <c r="LH32" s="82" t="s">
        <v>39</v>
      </c>
    </row>
    <row r="33" spans="1:320" ht="48.75" customHeight="1" x14ac:dyDescent="0.3">
      <c r="A33" s="41"/>
      <c r="B33" s="10" t="str">
        <f t="shared" si="12"/>
        <v/>
      </c>
      <c r="C33" s="11" t="str">
        <f>C15</f>
        <v/>
      </c>
      <c r="D33" s="12" t="str">
        <f>D15</f>
        <v/>
      </c>
      <c r="E33" s="42"/>
      <c r="JE33" s="98" t="str">
        <f>JQ21&amp;JP15</f>
        <v>Españolorganic Fairtrade banana</v>
      </c>
      <c r="JF33" s="99" t="str">
        <f>JP21</f>
        <v xml:space="preserve">banano Fairtrade orgánico </v>
      </c>
      <c r="JG33" s="1" t="s">
        <v>28</v>
      </c>
      <c r="JH33" s="69" t="str">
        <f t="shared" si="10"/>
        <v>EnglishEquador</v>
      </c>
      <c r="JI33" s="70" t="str">
        <f t="shared" si="13"/>
        <v>Ecuador</v>
      </c>
      <c r="JO33" s="69" t="str">
        <f t="shared" si="3"/>
        <v>FrançaisÉquateur</v>
      </c>
      <c r="JP33" s="70" t="str">
        <f t="shared" si="11"/>
        <v>Équateur</v>
      </c>
      <c r="JQ33" s="106" t="str">
        <f>JU4</f>
        <v>Français</v>
      </c>
      <c r="LE33" s="1" t="str">
        <f t="shared" ref="LE33:LE37" si="14">LE15</f>
        <v/>
      </c>
      <c r="LF33" s="1" t="str">
        <f t="shared" ref="LF33:LG33" si="15">LF15</f>
        <v/>
      </c>
      <c r="LG33" s="1" t="str">
        <f t="shared" si="15"/>
        <v/>
      </c>
      <c r="LH33" s="1" t="str">
        <f>LH15</f>
        <v/>
      </c>
    </row>
    <row r="34" spans="1:320" ht="49.5" customHeight="1" x14ac:dyDescent="0.3">
      <c r="A34" s="41"/>
      <c r="B34" s="10" t="str">
        <f t="shared" si="12"/>
        <v/>
      </c>
      <c r="C34" s="11" t="str">
        <f>C16</f>
        <v/>
      </c>
      <c r="D34" s="12" t="str">
        <f>D16</f>
        <v/>
      </c>
      <c r="E34" s="42"/>
      <c r="JE34" s="98" t="str">
        <f>JQ20&amp;JP16</f>
        <v>Españolbanane conventionnelle du commerce équitable</v>
      </c>
      <c r="JF34" s="99" t="str">
        <f>JF32</f>
        <v>banano Fairtrade convencional</v>
      </c>
      <c r="JG34" s="1" t="s">
        <v>28</v>
      </c>
      <c r="JH34" s="69" t="str">
        <f t="shared" si="10"/>
        <v>EnglishIlhas do Barlavento</v>
      </c>
      <c r="JI34" s="70" t="str">
        <f t="shared" si="13"/>
        <v>Windward Islands</v>
      </c>
      <c r="JO34" s="69" t="str">
        <f t="shared" si="3"/>
        <v>FrançaisÎles du Vent</v>
      </c>
      <c r="JP34" s="70" t="str">
        <f t="shared" si="11"/>
        <v>Îles du Vent</v>
      </c>
      <c r="JQ34" s="106" t="str">
        <f>JU4</f>
        <v>Français</v>
      </c>
      <c r="LE34" s="1" t="str">
        <f t="shared" si="14"/>
        <v/>
      </c>
      <c r="LF34" s="1" t="str">
        <f t="shared" ref="LF34:LG34" si="16">LF16</f>
        <v/>
      </c>
      <c r="LG34" s="1" t="str">
        <f t="shared" si="16"/>
        <v/>
      </c>
      <c r="LH34" s="1" t="str">
        <f>LH16</f>
        <v/>
      </c>
    </row>
    <row r="35" spans="1:320" ht="18" x14ac:dyDescent="0.3">
      <c r="A35" s="41"/>
      <c r="B35" s="29" t="str">
        <f t="shared" si="12"/>
        <v/>
      </c>
      <c r="C35" s="30"/>
      <c r="D35" s="31"/>
      <c r="E35" s="42"/>
      <c r="JE35" s="98" t="str">
        <f>JQ21&amp;JP17</f>
        <v>Españolbanane biologique du commerce équitable</v>
      </c>
      <c r="JF35" s="99" t="str">
        <f t="shared" ref="JF35:JF37" si="17">JF33</f>
        <v xml:space="preserve">banano Fairtrade orgánico </v>
      </c>
      <c r="JG35" s="1" t="s">
        <v>28</v>
      </c>
      <c r="JH35" s="69" t="str">
        <f t="shared" si="10"/>
        <v>EnglishCosta Rica</v>
      </c>
      <c r="JI35" s="70" t="str">
        <f t="shared" si="13"/>
        <v>Costa Rica</v>
      </c>
      <c r="JO35" s="69" t="str">
        <f t="shared" si="3"/>
        <v>FrançaisCosta Rica</v>
      </c>
      <c r="JP35" s="70" t="str">
        <f t="shared" si="11"/>
        <v>Costa Rica</v>
      </c>
      <c r="JQ35" s="106" t="str">
        <f>JU4</f>
        <v>Français</v>
      </c>
      <c r="LE35" s="82" t="str">
        <f t="shared" si="14"/>
        <v>Fairtrade Minimum Price</v>
      </c>
      <c r="LF35" s="82" t="s">
        <v>71</v>
      </c>
      <c r="LG35" s="82" t="s">
        <v>70</v>
      </c>
      <c r="LH35" s="82" t="str">
        <f>LH17</f>
        <v>Precio Mínimo Fairtrade</v>
      </c>
    </row>
    <row r="36" spans="1:320" ht="33.75" customHeight="1" x14ac:dyDescent="0.3">
      <c r="A36" s="41"/>
      <c r="B36" s="20" t="str">
        <f t="shared" si="12"/>
        <v/>
      </c>
      <c r="C36" s="17" t="str">
        <f>C18</f>
        <v/>
      </c>
      <c r="D36" s="12" t="str">
        <f>D18</f>
        <v/>
      </c>
      <c r="E36" s="42"/>
      <c r="JE36" s="98" t="str">
        <f>JQ20&amp;JP18</f>
        <v>Españolbanana convencional de comércio justo</v>
      </c>
      <c r="JF36" s="99" t="str">
        <f t="shared" si="17"/>
        <v>banano Fairtrade convencional</v>
      </c>
      <c r="JG36" s="1" t="s">
        <v>28</v>
      </c>
      <c r="JH36" s="69" t="str">
        <f t="shared" si="10"/>
        <v>EnglishRepública Dominicana</v>
      </c>
      <c r="JI36" s="70" t="str">
        <f t="shared" si="13"/>
        <v>Dominican Republic</v>
      </c>
      <c r="JO36" s="69" t="str">
        <f t="shared" si="3"/>
        <v>FrançaisRépublique dominicaine</v>
      </c>
      <c r="JP36" s="70" t="str">
        <f t="shared" si="11"/>
        <v>République dominicaine</v>
      </c>
      <c r="JQ36" s="106" t="str">
        <f>JU4</f>
        <v>Français</v>
      </c>
      <c r="LE36" s="1" t="str">
        <f t="shared" si="14"/>
        <v/>
      </c>
      <c r="LF36" s="1" t="str">
        <f t="shared" ref="LF36:LG36" si="18">LF18</f>
        <v/>
      </c>
      <c r="LG36" s="1" t="str">
        <f t="shared" si="18"/>
        <v/>
      </c>
      <c r="LH36" s="1" t="str">
        <f>LH18</f>
        <v/>
      </c>
    </row>
    <row r="37" spans="1:320" ht="33.75" customHeight="1" x14ac:dyDescent="0.3">
      <c r="A37" s="41"/>
      <c r="B37" s="21" t="str">
        <f t="shared" si="12"/>
        <v/>
      </c>
      <c r="C37" s="32" t="str">
        <f>C19</f>
        <v/>
      </c>
      <c r="D37" s="15" t="str">
        <f>D19</f>
        <v/>
      </c>
      <c r="E37" s="42"/>
      <c r="JE37" s="103" t="str">
        <f>JQ21&amp;JP19</f>
        <v>Españolbanana biológica de comércio justo</v>
      </c>
      <c r="JF37" s="90" t="str">
        <f t="shared" si="17"/>
        <v xml:space="preserve">banano Fairtrade orgánico </v>
      </c>
      <c r="JG37" s="1" t="s">
        <v>28</v>
      </c>
      <c r="JH37" s="69" t="str">
        <f t="shared" si="10"/>
        <v>EnglishNicarágua</v>
      </c>
      <c r="JI37" s="70" t="str">
        <f>JI29</f>
        <v>Nicaragua</v>
      </c>
      <c r="JO37" s="69" t="str">
        <f t="shared" si="3"/>
        <v>FrançaisNicaragua</v>
      </c>
      <c r="JP37" s="70" t="str">
        <f t="shared" si="11"/>
        <v>Nicaragua</v>
      </c>
      <c r="JQ37" s="106" t="str">
        <f>JU4</f>
        <v>Français</v>
      </c>
      <c r="LE37" s="1" t="str">
        <f t="shared" si="14"/>
        <v/>
      </c>
      <c r="LF37" s="1" t="str">
        <f t="shared" ref="LF37:LG37" si="19">LF19</f>
        <v/>
      </c>
      <c r="LG37" s="1" t="str">
        <f t="shared" si="19"/>
        <v/>
      </c>
      <c r="LH37" s="1" t="str">
        <f>LH19</f>
        <v/>
      </c>
    </row>
    <row r="38" spans="1:320" x14ac:dyDescent="0.3">
      <c r="A38" s="41"/>
      <c r="B38" s="22" t="str">
        <f t="shared" si="12"/>
        <v/>
      </c>
      <c r="C38" s="17"/>
      <c r="D38" s="12"/>
      <c r="E38" s="42"/>
      <c r="JE38" s="1" t="str">
        <f>JO14</f>
        <v>Englishconventional Fairtrade banana</v>
      </c>
      <c r="JF38" s="1" t="str">
        <f>JP14</f>
        <v>conventional Fairtrade banana</v>
      </c>
      <c r="JH38" s="69" t="str">
        <f t="shared" ref="JH38:JH45" si="20">JQ22&amp;JP46</f>
        <v>EnglishPanamá</v>
      </c>
      <c r="JI38" s="70" t="str">
        <f t="shared" si="13"/>
        <v>Panama</v>
      </c>
      <c r="JO38" s="69" t="str">
        <f t="shared" si="3"/>
        <v>PortuguêsPanamá</v>
      </c>
      <c r="JP38" s="132" t="str">
        <f t="shared" ref="JP38:JP45" si="21">JV10</f>
        <v>Panamá</v>
      </c>
      <c r="JQ38" s="106" t="str">
        <f>JV4</f>
        <v>Português</v>
      </c>
      <c r="KB38" s="79"/>
      <c r="KJ38" s="68"/>
      <c r="KK38" s="68"/>
      <c r="KL38" s="68"/>
      <c r="KM38" s="68"/>
      <c r="KN38" s="68"/>
      <c r="KO38" s="68"/>
      <c r="KP38" s="68"/>
      <c r="KQ38" s="68"/>
      <c r="LE38" s="82" t="s">
        <v>14</v>
      </c>
      <c r="LF38" s="82" t="s">
        <v>76</v>
      </c>
      <c r="LG38" s="82" t="s">
        <v>77</v>
      </c>
      <c r="LH38" s="82" t="s">
        <v>40</v>
      </c>
    </row>
    <row r="39" spans="1:320" ht="32.25" customHeight="1" x14ac:dyDescent="0.3">
      <c r="A39" s="41"/>
      <c r="B39" s="20" t="str">
        <f t="shared" si="12"/>
        <v/>
      </c>
      <c r="C39" s="3"/>
      <c r="D39" s="33" t="str">
        <f>D34</f>
        <v/>
      </c>
      <c r="E39" s="42"/>
      <c r="JE39" s="1" t="str">
        <f t="shared" ref="JE39:JF39" si="22">JO15</f>
        <v>Englishorganic Fairtrade banana</v>
      </c>
      <c r="JF39" s="1" t="str">
        <f t="shared" si="22"/>
        <v>organic Fairtrade banana</v>
      </c>
      <c r="JH39" s="69" t="str">
        <f t="shared" si="20"/>
        <v>EnglishPerú</v>
      </c>
      <c r="JI39" s="70" t="str">
        <f t="shared" si="13"/>
        <v>Peru</v>
      </c>
      <c r="JO39" s="69" t="str">
        <f t="shared" si="3"/>
        <v>PortuguêsPeru</v>
      </c>
      <c r="JP39" s="132" t="str">
        <f t="shared" si="21"/>
        <v>Peru</v>
      </c>
      <c r="JQ39" s="106" t="str">
        <f>JV4</f>
        <v>Português</v>
      </c>
      <c r="KJ39" s="68"/>
      <c r="KK39" s="68"/>
      <c r="KL39" s="68"/>
      <c r="KM39" s="68"/>
      <c r="KN39" s="68"/>
      <c r="KO39" s="68"/>
      <c r="KP39" s="68"/>
      <c r="KQ39" s="68"/>
      <c r="LE39" s="82" t="str">
        <f>IF(KG14=FALSE,"",
IF($KF$14=0,"",
"• Banana volume per IFCO box (for which the Fairtrade Minimum Price will be prorated):"))</f>
        <v/>
      </c>
      <c r="LF39" s="82" t="str">
        <f>IF(KG14=FALSE,"",
IF($KF$14=0,"",
"• Volume de bananes par boîte IFCO (pour lequel le prix minimum du commerce équitable sera calculé au prorata):"))</f>
        <v/>
      </c>
      <c r="LG39" s="82" t="str">
        <f>IF(KG14=FALSE,"",
IF($KF$14=0,"",
"• Volume de bananas por caixa IFCO (para o qual o Preço Mínimo de Comércio Justo será pro-rated):"))</f>
        <v/>
      </c>
      <c r="LH39" s="82" t="str">
        <f>IF(KG14=FALSE,"",
IF($KF$14=0,"",
"• Volumen de banano por caja IFCO (para el que se prorrateará el Precio Mínimo Fairtrade):"))</f>
        <v/>
      </c>
    </row>
    <row r="40" spans="1:320" ht="17.25" customHeight="1" x14ac:dyDescent="0.3">
      <c r="A40" s="41"/>
      <c r="B40" s="20" t="str">
        <f t="shared" si="12"/>
        <v/>
      </c>
      <c r="C40" s="14" t="str">
        <f>IF(OR($JG$8,ISBLANK($D$2)),"",
IF(KG14=FALSE,"",
IF(ISBLANK($C$39),"",
IF($KF$14=0,"",0))))</f>
        <v/>
      </c>
      <c r="D40" s="12" t="str">
        <f>IF(KG14=FALSE,"",
IF(ISBLANK($C$39),"",
IF(C33="","","USD/IFCObox"&amp;$C$39&amp;"kg")))</f>
        <v/>
      </c>
      <c r="E40" s="42"/>
      <c r="JE40" s="1" t="str">
        <f t="shared" ref="JE40:JF40" si="23">JO16</f>
        <v>Françaisbanane conventionnelle du commerce équitable</v>
      </c>
      <c r="JF40" s="1" t="str">
        <f t="shared" si="23"/>
        <v>banane conventionnelle du commerce équitable</v>
      </c>
      <c r="JH40" s="69" t="str">
        <f t="shared" si="20"/>
        <v>EnglishColombia</v>
      </c>
      <c r="JI40" s="70" t="str">
        <f t="shared" si="13"/>
        <v>Colombia</v>
      </c>
      <c r="JO40" s="69" t="str">
        <f t="shared" si="3"/>
        <v>PortuguêsColômbia</v>
      </c>
      <c r="JP40" s="132" t="str">
        <f t="shared" si="21"/>
        <v>Colômbia</v>
      </c>
      <c r="JQ40" s="106" t="str">
        <f>JV4</f>
        <v>Português</v>
      </c>
      <c r="KJ40" s="68"/>
      <c r="KK40" s="68"/>
      <c r="KL40" s="68"/>
      <c r="KM40" s="68"/>
      <c r="KN40" s="68"/>
      <c r="KO40" s="68"/>
      <c r="KP40" s="68"/>
      <c r="KQ40" s="68"/>
      <c r="LE40" s="82" t="str">
        <f>IF(KG14=FALSE,"",
IF($KF$14=0,"",
IF(ISBLANK($C$39),"",
IF($C$10=$KL$5,
"• Price per IFCO box paid by the producer that exports by themselves:",
IF($C$10=$KL$6,
"• Price per IFCO box paid by the producer at Ex Works level:")))))</f>
        <v/>
      </c>
      <c r="LF40" s="82" t="str">
        <f>IF(KG14=FALSE,"",
IF($KF$14=0,"",
IF(ISBLANK($C$39),"",
IF($C$10=$KL$5,
"• Prix IFCO par boîte payé par le producteur auto-exportateur:",
IF($C$10=$KL$6,
"• Prix IFCO par boîte payé par le producteur au niveau Ex Works:")))))</f>
        <v/>
      </c>
      <c r="LG40" s="82" t="str">
        <f>IF(KG14=FALSE,"",
IF($KF$14=0,"",
IF(ISBLANK($C$39),"",
IF($C$10=$KL$5,
"• Preço IFCO por caixa pago pelo produtor auto-exportador:",
IF($C$10=$KL$6,
"• Preço IFCO por caixa pago pelo produtor ao nível de Ex Works:")))))</f>
        <v/>
      </c>
      <c r="LH40" s="82" t="str">
        <f>IF(KG14=FALSE,"",
IF($KF$14=0,"",
IF(ISBLANK($C$39),"",
IF($C$10=$KL$5,
"• Precio por caja IFCO pagado por el productor que exporta por sí mismo:",
IF($C$10=$KL$6,
"• Precio por caja IFCO pagado por el productor a nivel Ex Works:")))))</f>
        <v/>
      </c>
    </row>
    <row r="41" spans="1:320" ht="16.5" customHeight="1" x14ac:dyDescent="0.3">
      <c r="A41" s="41"/>
      <c r="B41" s="29" t="str">
        <f t="shared" si="12"/>
        <v/>
      </c>
      <c r="C41" s="30"/>
      <c r="D41" s="31"/>
      <c r="E41" s="42"/>
      <c r="JE41" s="1" t="str">
        <f t="shared" ref="JE41:JF41" si="24">JO17</f>
        <v>Françaisbanane biologique du commerce équitable</v>
      </c>
      <c r="JF41" s="1" t="str">
        <f t="shared" si="24"/>
        <v>banane biologique du commerce équitable</v>
      </c>
      <c r="JH41" s="69" t="str">
        <f t="shared" si="20"/>
        <v>EnglishEcuador</v>
      </c>
      <c r="JI41" s="70" t="str">
        <f t="shared" si="13"/>
        <v>Ecuador</v>
      </c>
      <c r="JO41" s="69" t="str">
        <f t="shared" si="3"/>
        <v>PortuguêsEquador</v>
      </c>
      <c r="JP41" s="132" t="str">
        <f t="shared" si="21"/>
        <v>Equador</v>
      </c>
      <c r="JQ41" s="106" t="str">
        <f>JV4</f>
        <v>Português</v>
      </c>
      <c r="KJ41" s="68"/>
      <c r="KK41" s="68"/>
      <c r="KL41" s="68"/>
      <c r="KM41" s="68"/>
      <c r="KN41" s="68"/>
      <c r="KO41" s="68"/>
      <c r="KP41" s="68"/>
      <c r="KQ41" s="68"/>
      <c r="LE41" s="82" t="str">
        <f t="shared" ref="LE41:LG41" si="25">LE23</f>
        <v>Prorate</v>
      </c>
      <c r="LF41" s="82" t="str">
        <f t="shared" si="25"/>
        <v>Répartition</v>
      </c>
      <c r="LG41" s="82" t="str">
        <f t="shared" si="25"/>
        <v>Rateio</v>
      </c>
      <c r="LH41" s="82" t="str">
        <f>LH23</f>
        <v>Prorrateo</v>
      </c>
    </row>
    <row r="42" spans="1:320" ht="20.399999999999999" customHeight="1" x14ac:dyDescent="0.3">
      <c r="A42" s="41"/>
      <c r="B42" s="135" t="str">
        <f t="shared" si="12"/>
        <v/>
      </c>
      <c r="C42" s="35" t="str">
        <f>IF(KG14=FALSE,"",
IF(ISBLANK($C$39),"",
IF($C$36="","",
IF($C$10=$KL$5,ROUND((((C36-C33)/C34)*C39)+C40,2),
IF($C$10=$KL$6,ROUND(((C36/C34)*C39),2))))))</f>
        <v/>
      </c>
      <c r="D42" s="34" t="str">
        <f>IF(KG14=FALSE,"",
IF(C33="","",D40))</f>
        <v/>
      </c>
      <c r="E42" s="42"/>
      <c r="JE42" s="1" t="str">
        <f t="shared" ref="JE42:JF42" si="26">JO18</f>
        <v>Portuguêsbanana convencional de comércio justo</v>
      </c>
      <c r="JF42" s="1" t="str">
        <f t="shared" si="26"/>
        <v>banana convencional de comércio justo</v>
      </c>
      <c r="JH42" s="69" t="str">
        <f t="shared" si="20"/>
        <v>EnglishIslas Barlovento</v>
      </c>
      <c r="JI42" s="70" t="str">
        <f t="shared" si="13"/>
        <v>Windward Islands</v>
      </c>
      <c r="JO42" s="69" t="str">
        <f t="shared" si="3"/>
        <v>PortuguêsIlhas do Barlavento</v>
      </c>
      <c r="JP42" s="132" t="str">
        <f t="shared" si="21"/>
        <v>Ilhas do Barlavento</v>
      </c>
      <c r="JQ42" s="106" t="str">
        <f>JV4</f>
        <v>Português</v>
      </c>
      <c r="KJ42" s="68"/>
      <c r="KK42" s="68"/>
      <c r="KL42" s="68"/>
      <c r="KM42" s="68"/>
      <c r="KN42" s="68"/>
      <c r="KO42" s="68"/>
      <c r="KP42" s="68"/>
      <c r="KQ42" s="68"/>
      <c r="LE42" s="82" t="str">
        <f>IF(KG14=FALSE,"",
IF($KF$14=0,"",
IF(ISBLANK($C$39),"",
"• Prorated "&amp;$C$10&amp;" Fairtrade Minimum Price "&amp;$KA$4&amp;" per IFCO box of "&amp;$C$39&amp;"kg of "&amp;$C$9&amp;" from "&amp;$C$8&amp;":")))</f>
        <v/>
      </c>
      <c r="LF42" s="82" t="str">
        <f>IF(KG14=FALSE,"",
IF($KF$14=0,"",
IF(ISBLANK($C$39),"",
"• Prix minimum Fairtrade "&amp;$C$10&amp;" "&amp;$KA$4&amp;" Répartition pour la boîte IFCO de "&amp;$C$39&amp;"kg de "&amp;$C$9&amp;" de "&amp;$C$8&amp;":")))</f>
        <v/>
      </c>
      <c r="LG42" s="82" t="str">
        <f>IF(KG14=FALSE,"",
IF($KF$14=0,"",
IF(ISBLANK($C$39),"",
"• Preço mínimo Fairtrade "&amp;$C$10&amp;" "&amp;$KA$4&amp;" Repartido para a caixa IFCO de "&amp;$C$39&amp;"kg de "&amp;$C$9&amp;" de "&amp;$C$8&amp;":")))</f>
        <v/>
      </c>
      <c r="LH42" s="82" t="str">
        <f>IF(KG14=FALSE,"",
IF($KF$14=0,"",
IF(ISBLANK($C$39),"",
"• Precio Mínimo Fairtrade "&amp;$C$10&amp;" "&amp;$KA$4&amp;" Prorrateado para caja IFCO de "&amp;$C$39&amp;"kg de "&amp;$C$9&amp;" de "&amp;$C$8&amp;":")))</f>
        <v/>
      </c>
    </row>
    <row r="43" spans="1:320" ht="20.399999999999999" customHeight="1" x14ac:dyDescent="0.3">
      <c r="A43" s="41"/>
      <c r="B43" s="135"/>
      <c r="C43" s="11" t="str">
        <f>IF(KG14=FALSE,"",
IF(ISBLANK($C$39),"",
IF($C$36="","",
IF($C$10=$KL$5," = [("&amp;$C$36&amp;"-"&amp;$C$33&amp;")/"&amp;$C$34&amp;"]*"&amp;$C$39&amp;" + "&amp;$C$40&amp;" = "&amp;$C$42,
IF($C$10=$KL$6," = ("&amp;$C$36&amp;"/"&amp;$C$34&amp;")*"&amp;$C$39&amp;" = "&amp;$C$42)))))</f>
        <v/>
      </c>
      <c r="D43" s="12"/>
      <c r="E43" s="42"/>
      <c r="JE43" s="1" t="str">
        <f t="shared" ref="JE43:JF43" si="27">JO19</f>
        <v>Portuguêsbanana biológica de comércio justo</v>
      </c>
      <c r="JF43" s="1" t="str">
        <f t="shared" si="27"/>
        <v>banana biológica de comércio justo</v>
      </c>
      <c r="JH43" s="69" t="str">
        <f t="shared" si="20"/>
        <v>EnglishCosta Rica</v>
      </c>
      <c r="JI43" s="70" t="str">
        <f t="shared" si="13"/>
        <v>Costa Rica</v>
      </c>
      <c r="JO43" s="69" t="str">
        <f t="shared" si="3"/>
        <v>PortuguêsCosta Rica</v>
      </c>
      <c r="JP43" s="132" t="str">
        <f t="shared" si="21"/>
        <v>Costa Rica</v>
      </c>
      <c r="JQ43" s="106" t="str">
        <f>JV4</f>
        <v>Português</v>
      </c>
      <c r="KJ43" s="68"/>
      <c r="KK43" s="80"/>
      <c r="KL43" s="68"/>
      <c r="KM43" s="81"/>
      <c r="KN43" s="81"/>
      <c r="KO43" s="68"/>
      <c r="KP43" s="68"/>
      <c r="KQ43" s="68"/>
      <c r="LF43" s="1" t="s">
        <v>28</v>
      </c>
    </row>
    <row r="44" spans="1:320" ht="20.399999999999999" customHeight="1" x14ac:dyDescent="0.3">
      <c r="A44" s="41"/>
      <c r="B44" s="135" t="str">
        <f>IF(OR($JG$8,ISBLANK($D$2)),"",
IF($D$2=$KZ$4,LE44,
IF($D$2=$KZ$5,LF44,
IF($D$2=$KZ$6,LG44,
LH44))))</f>
        <v/>
      </c>
      <c r="C44" s="35" t="str">
        <f>IF(KG14=FALSE,"",
IF(ISBLANK($C$39),"",
IF(OR($C$10=$KL$6,$C$36=""),"",
ROUND(((KM14/C34)*C39),2))))</f>
        <v/>
      </c>
      <c r="D44" s="34" t="str">
        <f>IF(KG14=FALSE,"",
IF(OR($C$10=$KL$6,$C$36=""),"",
D42))</f>
        <v/>
      </c>
      <c r="E44" s="42"/>
      <c r="JE44" s="1" t="str">
        <f t="shared" ref="JE44:JF44" si="28">JO20</f>
        <v>Españolbanano Fairtrade convencional</v>
      </c>
      <c r="JF44" s="1" t="str">
        <f t="shared" si="28"/>
        <v>banano Fairtrade convencional</v>
      </c>
      <c r="JH44" s="69" t="str">
        <f t="shared" si="20"/>
        <v>EnglishRepública Dominicana</v>
      </c>
      <c r="JI44" s="70" t="str">
        <f t="shared" si="13"/>
        <v>Dominican Republic</v>
      </c>
      <c r="JO44" s="69" t="str">
        <f t="shared" si="3"/>
        <v>PortuguêsRepública Dominicana</v>
      </c>
      <c r="JP44" s="132" t="str">
        <f t="shared" si="21"/>
        <v>República Dominicana</v>
      </c>
      <c r="JQ44" s="106" t="str">
        <f>JV4</f>
        <v>Português</v>
      </c>
      <c r="KJ44" s="68"/>
      <c r="KK44" s="68"/>
      <c r="KL44" s="68"/>
      <c r="KM44" s="81"/>
      <c r="KN44" s="81"/>
      <c r="KO44" s="68"/>
      <c r="KP44" s="68"/>
      <c r="KQ44" s="68"/>
      <c r="LE44" s="82" t="str">
        <f>IF(KG14=FALSE,"",
IF($KF$14=0,"",
IF(ISBLANK($C$39),"",
IF(OR($C$10=$KL$6,$C$36=""),"","• Prorated Ex Works Fairtrade Minimum Price "&amp;$KA$4&amp;" per IFCO box of "&amp;$C$39&amp;"kg of "&amp;$C$9&amp;" from "&amp;$C$8&amp;":"))))</f>
        <v/>
      </c>
      <c r="LF44" s="82" t="str">
        <f>IF(KG14=FALSE,"",
IF($KF$14=0,"",
IF(ISBLANK($C$39),"",
IF(OR($C$10=$KL$6,$C$36=""),"","• Prix minimum Fairtrade Ex Works "&amp;$KA$4&amp;" Répartition pour la boîte IFCO de "&amp;$C$39&amp;"kg de "&amp;$C$9&amp;" de "&amp;$C$8&amp;":"))))</f>
        <v/>
      </c>
      <c r="LG44" s="82" t="str">
        <f>IF(KG14=FALSE,"",
IF($KF$14=0,"",
IF(ISBLANK($C$39),"",
IF(OR($C$10=$KL$6,$C$36=""),"","• Precio Mínimo Fairtrade Ex Works "&amp;$KA$4&amp;" Repartido para a caixa IFCO de "&amp;$C$39&amp;"kg de "&amp;$C$9&amp;" de "&amp;$C$8&amp;":"))))</f>
        <v/>
      </c>
      <c r="LH44" s="82" t="str">
        <f>IF(KG14=FALSE,"",
IF($KF$14=0,"",
IF(ISBLANK($C$39),"",
IF(OR($C$10=$KL$6,$C$36=""),"","• Precio Mínimo Fairtrade Ex Works "&amp;$KA$4&amp;" Prorrateado para caja IFCO de "&amp;$C$39&amp;"kg de "&amp;$C$9&amp;" de "&amp;$C$8&amp;":"))))</f>
        <v/>
      </c>
    </row>
    <row r="45" spans="1:320" ht="20.399999999999999" customHeight="1" x14ac:dyDescent="0.3">
      <c r="A45" s="41"/>
      <c r="B45" s="135"/>
      <c r="C45" s="27" t="str">
        <f>IF(KG14=FALSE,"",
IF(ISBLANK($C$39),"",
IF(OR($C$10=$KL$6,$C$36=""),"",
" = ["&amp;$KM$14&amp;"/"&amp;$C$34&amp;"]*"&amp;$C$39&amp;" = "&amp;$C$44)))</f>
        <v/>
      </c>
      <c r="D45" s="12"/>
      <c r="E45" s="42"/>
      <c r="JE45" s="1" t="str">
        <f t="shared" ref="JE45:JF45" si="29">JO21</f>
        <v xml:space="preserve">Españolbanano Fairtrade orgánico </v>
      </c>
      <c r="JF45" s="1" t="str">
        <f t="shared" si="29"/>
        <v xml:space="preserve">banano Fairtrade orgánico </v>
      </c>
      <c r="JH45" s="69" t="str">
        <f t="shared" si="20"/>
        <v>EnglishNicaragua</v>
      </c>
      <c r="JI45" s="70" t="str">
        <f t="shared" si="13"/>
        <v>Nicaragua</v>
      </c>
      <c r="JO45" s="69" t="str">
        <f t="shared" si="3"/>
        <v>PortuguêsNicarágua</v>
      </c>
      <c r="JP45" s="132" t="str">
        <f t="shared" si="21"/>
        <v>Nicarágua</v>
      </c>
      <c r="JQ45" s="106" t="str">
        <f>JV4</f>
        <v>Português</v>
      </c>
      <c r="KJ45" s="68"/>
      <c r="KK45" s="68"/>
      <c r="KL45" s="68"/>
      <c r="KM45" s="81"/>
      <c r="KN45" s="81"/>
      <c r="KO45" s="68"/>
      <c r="KP45" s="68"/>
      <c r="KQ45" s="68"/>
    </row>
    <row r="46" spans="1:320" ht="20.399999999999999" customHeight="1" x14ac:dyDescent="0.5">
      <c r="A46" s="41"/>
      <c r="B46" s="135" t="str">
        <f>IF(OR($JG$8,ISBLANK($D$2)),"",
IF($D$2=$KZ$4,LE46,
IF($D$2=$KZ$5,LF46,
IF($D$2=$KZ$6,LG46,
LH46))))</f>
        <v/>
      </c>
      <c r="C46" s="26" t="str">
        <f>IF(KG14=FALSE,"",
IF(ISBLANK($C$39),"",
IF(C42="","",
ROUND(C39/C34,2))))</f>
        <v/>
      </c>
      <c r="D46" s="23" t="str">
        <f>D42</f>
        <v/>
      </c>
      <c r="E46" s="42"/>
      <c r="JH46" s="69" t="str">
        <f t="shared" ref="JH46:JH53" si="30">JQ30&amp;JP22</f>
        <v>FrançaisPanama</v>
      </c>
      <c r="JI46" s="70" t="str">
        <f t="shared" ref="JI46:JI53" si="31">JP30</f>
        <v>Panama</v>
      </c>
      <c r="JO46" s="69" t="str">
        <f t="shared" si="3"/>
        <v>EspañolPanamá</v>
      </c>
      <c r="JP46" s="132" t="str">
        <f t="shared" ref="JP46:JP53" si="32">JW10</f>
        <v>Panamá</v>
      </c>
      <c r="JQ46" s="106" t="str">
        <f>JW4</f>
        <v>Español</v>
      </c>
      <c r="JX46" s="2"/>
      <c r="LE46" s="82" t="str">
        <f>IF(KG14=FALSE,"",
IF($KF$14=0,"",
IF(ISBLANK($C$39),"",
IF(OR($C$10=$KL$6,$C$36=""),"","• Prorated Fairtrade Premium "&amp;$KA$4&amp;" per IFCO box of "&amp;$C$39&amp;"kg of "&amp;$C$9&amp;" from "&amp;$C$8&amp;":"))))</f>
        <v/>
      </c>
      <c r="LF46" s="82" t="str">
        <f>IF(KG14=FALSE,"",
IF($KF$14=0,"",
IF(ISBLANK($C$39),"",
IF(OR($C$10=$KL$6,$C$36=""),"","• Prime Fairtrade "&amp;$KA$4&amp;" Répartition pour la boîte IFCO de "&amp;$C$39&amp;"kg de "&amp;$C$9&amp;" de "&amp;$C$8&amp;":"))))</f>
        <v/>
      </c>
      <c r="LG46" s="82" t="str">
        <f>IF(KG14=FALSE,"",
IF($KF$14=0,"",
IF(ISBLANK($C$39),"",
IF(OR($C$10=$KL$6,$C$36=""),"","• Prémio Fairtrade "&amp;$KA$4&amp;" Repartido para a caixa IFCO de "&amp;$C$39&amp;"kg de "&amp;$C$9&amp;" de "&amp;$C$8&amp;":"))))</f>
        <v/>
      </c>
      <c r="LH46" s="82" t="str">
        <f>IF(KG14=FALSE,"",
IF($KF$14=0,"",
IF(ISBLANK($C$39),"",
IF(OR($C$10=$KL$6,$C$36=""),"","• Prima Fairtrade "&amp;$KA$4&amp;" Prorrateada por caja IFCO de "&amp;$C$39&amp;"kg de "&amp;$C$9&amp;" de "&amp;$C$8&amp;":"))))</f>
        <v/>
      </c>
    </row>
    <row r="47" spans="1:320" ht="20.399999999999999" customHeight="1" thickBot="1" x14ac:dyDescent="0.55000000000000004">
      <c r="A47" s="41"/>
      <c r="B47" s="136"/>
      <c r="C47" s="28" t="str">
        <f>IF(C46="","","= "&amp;C39&amp;"/"&amp;C34&amp;" = "&amp;C46)</f>
        <v/>
      </c>
      <c r="D47" s="24"/>
      <c r="E47" s="42"/>
      <c r="JH47" s="69" t="str">
        <f t="shared" si="30"/>
        <v>FrançaisPeru</v>
      </c>
      <c r="JI47" s="70" t="str">
        <f t="shared" si="31"/>
        <v>Pérou</v>
      </c>
      <c r="JO47" s="69" t="str">
        <f t="shared" si="3"/>
        <v>EspañolPerú</v>
      </c>
      <c r="JP47" s="132" t="str">
        <f t="shared" si="32"/>
        <v>Perú</v>
      </c>
      <c r="JQ47" s="106" t="str">
        <f>JW4</f>
        <v>Español</v>
      </c>
      <c r="JX47" s="2"/>
    </row>
    <row r="48" spans="1:320" ht="15" thickBot="1" x14ac:dyDescent="0.35">
      <c r="A48" s="43"/>
      <c r="B48" s="44"/>
      <c r="C48" s="45"/>
      <c r="D48" s="45"/>
      <c r="E48" s="46"/>
      <c r="JH48" s="69" t="str">
        <f t="shared" si="30"/>
        <v>FrançaisColombia</v>
      </c>
      <c r="JI48" s="70" t="str">
        <f t="shared" si="31"/>
        <v>Colombie</v>
      </c>
      <c r="JO48" s="69" t="str">
        <f t="shared" si="3"/>
        <v>EspañolColombia</v>
      </c>
      <c r="JP48" s="132" t="str">
        <f t="shared" si="32"/>
        <v>Colombia</v>
      </c>
      <c r="JQ48" s="106" t="str">
        <f>JW4</f>
        <v>Español</v>
      </c>
      <c r="KJ48" s="68"/>
      <c r="KK48" s="68"/>
      <c r="KL48" s="68"/>
      <c r="KM48" s="81"/>
      <c r="KN48" s="81"/>
      <c r="KO48" s="68"/>
      <c r="KP48" s="68"/>
      <c r="KQ48" s="68"/>
    </row>
    <row r="49" spans="1:303" x14ac:dyDescent="0.3">
      <c r="A49" s="6"/>
      <c r="C49" s="6"/>
      <c r="D49" s="6"/>
      <c r="E49" s="6"/>
      <c r="JH49" s="69" t="str">
        <f t="shared" si="30"/>
        <v>FrançaisEcuador</v>
      </c>
      <c r="JI49" s="70" t="str">
        <f t="shared" si="31"/>
        <v>Équateur</v>
      </c>
      <c r="JO49" s="69" t="str">
        <f t="shared" si="3"/>
        <v>EspañolEcuador</v>
      </c>
      <c r="JP49" s="132" t="str">
        <f t="shared" si="32"/>
        <v>Ecuador</v>
      </c>
      <c r="JQ49" s="106" t="str">
        <f>JW4</f>
        <v>Español</v>
      </c>
      <c r="KJ49" s="68"/>
      <c r="KK49" s="68"/>
      <c r="KL49" s="68"/>
      <c r="KM49" s="81"/>
      <c r="KN49" s="81"/>
      <c r="KO49" s="68"/>
      <c r="KP49" s="68"/>
      <c r="KQ49" s="68"/>
    </row>
    <row r="50" spans="1:303" x14ac:dyDescent="0.3">
      <c r="C50" s="5"/>
      <c r="JH50" s="69" t="str">
        <f t="shared" si="30"/>
        <v>FrançaisWindward Islands</v>
      </c>
      <c r="JI50" s="70" t="str">
        <f t="shared" si="31"/>
        <v>Îles du Vent</v>
      </c>
      <c r="JO50" s="69" t="str">
        <f t="shared" si="3"/>
        <v>EspañolIslas Barlovento</v>
      </c>
      <c r="JP50" s="132" t="str">
        <f t="shared" si="32"/>
        <v>Islas Barlovento</v>
      </c>
      <c r="JQ50" s="106" t="str">
        <f>JW4</f>
        <v>Español</v>
      </c>
      <c r="KJ50" s="68"/>
      <c r="KK50" s="68"/>
      <c r="KL50" s="68"/>
      <c r="KM50" s="81"/>
      <c r="KN50" s="81"/>
      <c r="KO50" s="68"/>
      <c r="KP50" s="68"/>
      <c r="KQ50" s="68"/>
    </row>
    <row r="51" spans="1:303" x14ac:dyDescent="0.3">
      <c r="JH51" s="69" t="str">
        <f t="shared" si="30"/>
        <v>FrançaisCosta Rica</v>
      </c>
      <c r="JI51" s="70" t="str">
        <f t="shared" si="31"/>
        <v>Costa Rica</v>
      </c>
      <c r="JO51" s="69" t="str">
        <f t="shared" si="3"/>
        <v>EspañolCosta Rica</v>
      </c>
      <c r="JP51" s="132" t="str">
        <f t="shared" si="32"/>
        <v>Costa Rica</v>
      </c>
      <c r="JQ51" s="106" t="str">
        <f>JW4</f>
        <v>Español</v>
      </c>
      <c r="KJ51" s="68"/>
      <c r="KK51" s="68"/>
      <c r="KL51" s="68"/>
      <c r="KM51" s="81"/>
      <c r="KN51" s="81"/>
      <c r="KO51" s="68"/>
      <c r="KP51" s="68"/>
      <c r="KQ51" s="68"/>
    </row>
    <row r="52" spans="1:303" x14ac:dyDescent="0.3">
      <c r="JH52" s="69" t="str">
        <f t="shared" si="30"/>
        <v>FrançaisDominican Republic</v>
      </c>
      <c r="JI52" s="70" t="str">
        <f t="shared" si="31"/>
        <v>République dominicaine</v>
      </c>
      <c r="JO52" s="69" t="str">
        <f t="shared" si="3"/>
        <v>EspañolRepública Dominicana</v>
      </c>
      <c r="JP52" s="132" t="str">
        <f t="shared" si="32"/>
        <v>República Dominicana</v>
      </c>
      <c r="JQ52" s="106" t="str">
        <f>JW4</f>
        <v>Español</v>
      </c>
      <c r="KJ52" s="68"/>
      <c r="KK52" s="68"/>
      <c r="KL52" s="68"/>
      <c r="KM52" s="68"/>
      <c r="KN52" s="68"/>
      <c r="KO52" s="68"/>
      <c r="KP52" s="68"/>
      <c r="KQ52" s="68"/>
    </row>
    <row r="53" spans="1:303" x14ac:dyDescent="0.3">
      <c r="JH53" s="69" t="str">
        <f t="shared" si="30"/>
        <v>FrançaisNicaragua</v>
      </c>
      <c r="JI53" s="70" t="str">
        <f t="shared" si="31"/>
        <v>Nicaragua</v>
      </c>
      <c r="JO53" s="71" t="str">
        <f t="shared" si="3"/>
        <v>EspañolNicaragua</v>
      </c>
      <c r="JP53" s="133" t="str">
        <f t="shared" si="32"/>
        <v>Nicaragua</v>
      </c>
      <c r="JQ53" s="107" t="str">
        <f>JW4</f>
        <v>Español</v>
      </c>
      <c r="KJ53" s="68"/>
      <c r="KK53" s="68"/>
      <c r="KL53" s="68"/>
      <c r="KM53" s="68"/>
      <c r="KN53" s="68"/>
      <c r="KO53" s="68"/>
      <c r="KP53" s="68"/>
      <c r="KQ53" s="68"/>
    </row>
    <row r="54" spans="1:303" x14ac:dyDescent="0.3">
      <c r="JH54" s="69" t="str">
        <f t="shared" ref="JH54:JH61" si="33">JQ30&amp;JP38</f>
        <v>FrançaisPanamá</v>
      </c>
      <c r="JI54" s="70" t="str">
        <f>JI46</f>
        <v>Panama</v>
      </c>
      <c r="KJ54" s="68"/>
      <c r="KK54" s="68"/>
      <c r="KL54" s="68"/>
      <c r="KM54" s="68"/>
      <c r="KN54" s="68"/>
      <c r="KO54" s="68"/>
      <c r="KP54" s="68"/>
      <c r="KQ54" s="68"/>
    </row>
    <row r="55" spans="1:303" x14ac:dyDescent="0.3">
      <c r="JH55" s="69" t="str">
        <f t="shared" si="33"/>
        <v>FrançaisPeru</v>
      </c>
      <c r="JI55" s="70" t="str">
        <f t="shared" ref="JI55:JI69" si="34">JI47</f>
        <v>Pérou</v>
      </c>
    </row>
    <row r="56" spans="1:303" x14ac:dyDescent="0.3">
      <c r="JH56" s="69" t="str">
        <f t="shared" si="33"/>
        <v>FrançaisColômbia</v>
      </c>
      <c r="JI56" s="70" t="str">
        <f t="shared" si="34"/>
        <v>Colombie</v>
      </c>
    </row>
    <row r="57" spans="1:303" x14ac:dyDescent="0.3">
      <c r="JH57" s="69" t="str">
        <f t="shared" si="33"/>
        <v>FrançaisEquador</v>
      </c>
      <c r="JI57" s="70" t="str">
        <f t="shared" si="34"/>
        <v>Équateur</v>
      </c>
    </row>
    <row r="58" spans="1:303" x14ac:dyDescent="0.3">
      <c r="JH58" s="69" t="str">
        <f t="shared" si="33"/>
        <v>FrançaisIlhas do Barlavento</v>
      </c>
      <c r="JI58" s="70" t="str">
        <f t="shared" si="34"/>
        <v>Îles du Vent</v>
      </c>
    </row>
    <row r="59" spans="1:303" x14ac:dyDescent="0.3">
      <c r="JH59" s="69" t="str">
        <f t="shared" si="33"/>
        <v>FrançaisCosta Rica</v>
      </c>
      <c r="JI59" s="70" t="str">
        <f t="shared" si="34"/>
        <v>Costa Rica</v>
      </c>
    </row>
    <row r="60" spans="1:303" x14ac:dyDescent="0.3">
      <c r="JH60" s="69" t="str">
        <f t="shared" si="33"/>
        <v>FrançaisRepública Dominicana</v>
      </c>
      <c r="JI60" s="70" t="str">
        <f t="shared" si="34"/>
        <v>République dominicaine</v>
      </c>
    </row>
    <row r="61" spans="1:303" x14ac:dyDescent="0.3">
      <c r="JH61" s="69" t="str">
        <f t="shared" si="33"/>
        <v>FrançaisNicarágua</v>
      </c>
      <c r="JI61" s="70" t="str">
        <f t="shared" si="34"/>
        <v>Nicaragua</v>
      </c>
    </row>
    <row r="62" spans="1:303" x14ac:dyDescent="0.3">
      <c r="JH62" s="69" t="str">
        <f t="shared" ref="JH62:JH69" si="35">JQ30&amp;JP46</f>
        <v>FrançaisPanamá</v>
      </c>
      <c r="JI62" s="70" t="str">
        <f>JI54</f>
        <v>Panama</v>
      </c>
    </row>
    <row r="63" spans="1:303" x14ac:dyDescent="0.3">
      <c r="JH63" s="69" t="str">
        <f t="shared" si="35"/>
        <v>FrançaisPerú</v>
      </c>
      <c r="JI63" s="70" t="str">
        <f t="shared" si="34"/>
        <v>Pérou</v>
      </c>
    </row>
    <row r="64" spans="1:303" x14ac:dyDescent="0.3">
      <c r="JH64" s="69" t="str">
        <f t="shared" si="35"/>
        <v>FrançaisColombia</v>
      </c>
      <c r="JI64" s="70" t="str">
        <f t="shared" si="34"/>
        <v>Colombie</v>
      </c>
    </row>
    <row r="65" spans="268:269" x14ac:dyDescent="0.3">
      <c r="JH65" s="69" t="str">
        <f t="shared" si="35"/>
        <v>FrançaisEcuador</v>
      </c>
      <c r="JI65" s="70" t="str">
        <f t="shared" si="34"/>
        <v>Équateur</v>
      </c>
    </row>
    <row r="66" spans="268:269" x14ac:dyDescent="0.3">
      <c r="JH66" s="69" t="str">
        <f t="shared" si="35"/>
        <v>FrançaisIslas Barlovento</v>
      </c>
      <c r="JI66" s="70" t="str">
        <f t="shared" si="34"/>
        <v>Îles du Vent</v>
      </c>
    </row>
    <row r="67" spans="268:269" x14ac:dyDescent="0.3">
      <c r="JH67" s="69" t="str">
        <f t="shared" si="35"/>
        <v>FrançaisCosta Rica</v>
      </c>
      <c r="JI67" s="70" t="str">
        <f t="shared" si="34"/>
        <v>Costa Rica</v>
      </c>
    </row>
    <row r="68" spans="268:269" x14ac:dyDescent="0.3">
      <c r="JH68" s="69" t="str">
        <f t="shared" si="35"/>
        <v>FrançaisRepública Dominicana</v>
      </c>
      <c r="JI68" s="70" t="str">
        <f t="shared" si="34"/>
        <v>République dominicaine</v>
      </c>
    </row>
    <row r="69" spans="268:269" x14ac:dyDescent="0.3">
      <c r="JH69" s="69" t="str">
        <f t="shared" si="35"/>
        <v>FrançaisNicaragua</v>
      </c>
      <c r="JI69" s="70" t="str">
        <f t="shared" si="34"/>
        <v>Nicaragua</v>
      </c>
    </row>
    <row r="70" spans="268:269" x14ac:dyDescent="0.3">
      <c r="JH70" s="69" t="str">
        <f t="shared" ref="JH70:JH77" si="36">JQ38&amp;JP22</f>
        <v>PortuguêsPanama</v>
      </c>
      <c r="JI70" s="70" t="str">
        <f t="shared" ref="JI70:JI77" si="37">JP38</f>
        <v>Panamá</v>
      </c>
    </row>
    <row r="71" spans="268:269" x14ac:dyDescent="0.3">
      <c r="JH71" s="69" t="str">
        <f t="shared" si="36"/>
        <v>PortuguêsPeru</v>
      </c>
      <c r="JI71" s="70" t="str">
        <f t="shared" si="37"/>
        <v>Peru</v>
      </c>
    </row>
    <row r="72" spans="268:269" x14ac:dyDescent="0.3">
      <c r="JH72" s="69" t="str">
        <f t="shared" si="36"/>
        <v>PortuguêsColombia</v>
      </c>
      <c r="JI72" s="70" t="str">
        <f t="shared" si="37"/>
        <v>Colômbia</v>
      </c>
    </row>
    <row r="73" spans="268:269" x14ac:dyDescent="0.3">
      <c r="JH73" s="69" t="str">
        <f t="shared" si="36"/>
        <v>PortuguêsEcuador</v>
      </c>
      <c r="JI73" s="70" t="str">
        <f t="shared" si="37"/>
        <v>Equador</v>
      </c>
    </row>
    <row r="74" spans="268:269" x14ac:dyDescent="0.3">
      <c r="JH74" s="69" t="str">
        <f t="shared" si="36"/>
        <v>PortuguêsWindward Islands</v>
      </c>
      <c r="JI74" s="70" t="str">
        <f t="shared" si="37"/>
        <v>Ilhas do Barlavento</v>
      </c>
    </row>
    <row r="75" spans="268:269" x14ac:dyDescent="0.3">
      <c r="JH75" s="69" t="str">
        <f t="shared" si="36"/>
        <v>PortuguêsCosta Rica</v>
      </c>
      <c r="JI75" s="70" t="str">
        <f t="shared" si="37"/>
        <v>Costa Rica</v>
      </c>
    </row>
    <row r="76" spans="268:269" x14ac:dyDescent="0.3">
      <c r="JH76" s="69" t="str">
        <f t="shared" si="36"/>
        <v>PortuguêsDominican Republic</v>
      </c>
      <c r="JI76" s="70" t="str">
        <f t="shared" si="37"/>
        <v>República Dominicana</v>
      </c>
    </row>
    <row r="77" spans="268:269" x14ac:dyDescent="0.3">
      <c r="JH77" s="69" t="str">
        <f t="shared" si="36"/>
        <v>PortuguêsNicaragua</v>
      </c>
      <c r="JI77" s="70" t="str">
        <f t="shared" si="37"/>
        <v>Nicarágua</v>
      </c>
    </row>
    <row r="78" spans="268:269" x14ac:dyDescent="0.3">
      <c r="JH78" s="69" t="str">
        <f t="shared" ref="JH78:JH85" si="38">JQ38&amp;JP30</f>
        <v>PortuguêsPanama</v>
      </c>
      <c r="JI78" s="70" t="str">
        <f>JI70</f>
        <v>Panamá</v>
      </c>
    </row>
    <row r="79" spans="268:269" x14ac:dyDescent="0.3">
      <c r="JH79" s="69" t="str">
        <f t="shared" si="38"/>
        <v>PortuguêsPérou</v>
      </c>
      <c r="JI79" s="70" t="str">
        <f t="shared" ref="JI79:JI93" si="39">JI71</f>
        <v>Peru</v>
      </c>
    </row>
    <row r="80" spans="268:269" x14ac:dyDescent="0.3">
      <c r="JH80" s="69" t="str">
        <f t="shared" si="38"/>
        <v>PortuguêsColombie</v>
      </c>
      <c r="JI80" s="70" t="str">
        <f t="shared" si="39"/>
        <v>Colômbia</v>
      </c>
    </row>
    <row r="81" spans="268:269" x14ac:dyDescent="0.3">
      <c r="JH81" s="69" t="str">
        <f t="shared" si="38"/>
        <v>PortuguêsÉquateur</v>
      </c>
      <c r="JI81" s="70" t="str">
        <f t="shared" si="39"/>
        <v>Equador</v>
      </c>
    </row>
    <row r="82" spans="268:269" x14ac:dyDescent="0.3">
      <c r="JH82" s="69" t="str">
        <f t="shared" si="38"/>
        <v>PortuguêsÎles du Vent</v>
      </c>
      <c r="JI82" s="70" t="str">
        <f t="shared" si="39"/>
        <v>Ilhas do Barlavento</v>
      </c>
    </row>
    <row r="83" spans="268:269" x14ac:dyDescent="0.3">
      <c r="JH83" s="69" t="str">
        <f t="shared" si="38"/>
        <v>PortuguêsCosta Rica</v>
      </c>
      <c r="JI83" s="70" t="str">
        <f t="shared" si="39"/>
        <v>Costa Rica</v>
      </c>
    </row>
    <row r="84" spans="268:269" x14ac:dyDescent="0.3">
      <c r="JH84" s="69" t="str">
        <f t="shared" si="38"/>
        <v>PortuguêsRépublique dominicaine</v>
      </c>
      <c r="JI84" s="70" t="str">
        <f t="shared" si="39"/>
        <v>República Dominicana</v>
      </c>
    </row>
    <row r="85" spans="268:269" x14ac:dyDescent="0.3">
      <c r="JH85" s="69" t="str">
        <f t="shared" si="38"/>
        <v>PortuguêsNicaragua</v>
      </c>
      <c r="JI85" s="70" t="str">
        <f t="shared" si="39"/>
        <v>Nicarágua</v>
      </c>
    </row>
    <row r="86" spans="268:269" x14ac:dyDescent="0.3">
      <c r="JH86" s="69" t="str">
        <f t="shared" ref="JH86:JH93" si="40">JQ38&amp;JP46</f>
        <v>PortuguêsPanamá</v>
      </c>
      <c r="JI86" s="70" t="str">
        <f t="shared" si="39"/>
        <v>Panamá</v>
      </c>
    </row>
    <row r="87" spans="268:269" x14ac:dyDescent="0.3">
      <c r="JH87" s="69" t="str">
        <f t="shared" si="40"/>
        <v>PortuguêsPerú</v>
      </c>
      <c r="JI87" s="70" t="str">
        <f t="shared" si="39"/>
        <v>Peru</v>
      </c>
    </row>
    <row r="88" spans="268:269" x14ac:dyDescent="0.3">
      <c r="JH88" s="69" t="str">
        <f t="shared" si="40"/>
        <v>PortuguêsColombia</v>
      </c>
      <c r="JI88" s="70" t="str">
        <f t="shared" si="39"/>
        <v>Colômbia</v>
      </c>
    </row>
    <row r="89" spans="268:269" x14ac:dyDescent="0.3">
      <c r="JH89" s="69" t="str">
        <f t="shared" si="40"/>
        <v>PortuguêsEcuador</v>
      </c>
      <c r="JI89" s="70" t="str">
        <f t="shared" si="39"/>
        <v>Equador</v>
      </c>
    </row>
    <row r="90" spans="268:269" x14ac:dyDescent="0.3">
      <c r="JH90" s="69" t="str">
        <f t="shared" si="40"/>
        <v>PortuguêsIslas Barlovento</v>
      </c>
      <c r="JI90" s="70" t="str">
        <f t="shared" si="39"/>
        <v>Ilhas do Barlavento</v>
      </c>
    </row>
    <row r="91" spans="268:269" x14ac:dyDescent="0.3">
      <c r="JH91" s="69" t="str">
        <f t="shared" si="40"/>
        <v>PortuguêsCosta Rica</v>
      </c>
      <c r="JI91" s="70" t="str">
        <f t="shared" si="39"/>
        <v>Costa Rica</v>
      </c>
    </row>
    <row r="92" spans="268:269" x14ac:dyDescent="0.3">
      <c r="JH92" s="69" t="str">
        <f t="shared" si="40"/>
        <v>PortuguêsRepública Dominicana</v>
      </c>
      <c r="JI92" s="70" t="str">
        <f t="shared" si="39"/>
        <v>República Dominicana</v>
      </c>
    </row>
    <row r="93" spans="268:269" x14ac:dyDescent="0.3">
      <c r="JH93" s="69" t="str">
        <f t="shared" si="40"/>
        <v>PortuguêsNicaragua</v>
      </c>
      <c r="JI93" s="70" t="str">
        <f t="shared" si="39"/>
        <v>Nicarágua</v>
      </c>
    </row>
    <row r="94" spans="268:269" x14ac:dyDescent="0.3">
      <c r="JH94" s="69" t="str">
        <f t="shared" ref="JH94:JH101" si="41">JQ46&amp;JP22</f>
        <v>EspañolPanama</v>
      </c>
      <c r="JI94" s="70" t="str">
        <f t="shared" ref="JI94:JI101" si="42">JP46</f>
        <v>Panamá</v>
      </c>
    </row>
    <row r="95" spans="268:269" x14ac:dyDescent="0.3">
      <c r="JH95" s="69" t="str">
        <f t="shared" si="41"/>
        <v>EspañolPeru</v>
      </c>
      <c r="JI95" s="70" t="str">
        <f t="shared" si="42"/>
        <v>Perú</v>
      </c>
    </row>
    <row r="96" spans="268:269" x14ac:dyDescent="0.3">
      <c r="JH96" s="69" t="str">
        <f t="shared" si="41"/>
        <v>EspañolColombia</v>
      </c>
      <c r="JI96" s="70" t="str">
        <f t="shared" si="42"/>
        <v>Colombia</v>
      </c>
    </row>
    <row r="97" spans="268:269" x14ac:dyDescent="0.3">
      <c r="JH97" s="69" t="str">
        <f t="shared" si="41"/>
        <v>EspañolEcuador</v>
      </c>
      <c r="JI97" s="70" t="str">
        <f t="shared" si="42"/>
        <v>Ecuador</v>
      </c>
    </row>
    <row r="98" spans="268:269" x14ac:dyDescent="0.3">
      <c r="JH98" s="69" t="str">
        <f t="shared" si="41"/>
        <v>EspañolWindward Islands</v>
      </c>
      <c r="JI98" s="70" t="str">
        <f t="shared" si="42"/>
        <v>Islas Barlovento</v>
      </c>
    </row>
    <row r="99" spans="268:269" x14ac:dyDescent="0.3">
      <c r="JH99" s="69" t="str">
        <f t="shared" si="41"/>
        <v>EspañolCosta Rica</v>
      </c>
      <c r="JI99" s="70" t="str">
        <f t="shared" si="42"/>
        <v>Costa Rica</v>
      </c>
    </row>
    <row r="100" spans="268:269" x14ac:dyDescent="0.3">
      <c r="JH100" s="69" t="str">
        <f t="shared" si="41"/>
        <v>EspañolDominican Republic</v>
      </c>
      <c r="JI100" s="70" t="str">
        <f t="shared" si="42"/>
        <v>República Dominicana</v>
      </c>
    </row>
    <row r="101" spans="268:269" x14ac:dyDescent="0.3">
      <c r="JH101" s="69" t="str">
        <f t="shared" si="41"/>
        <v>EspañolNicaragua</v>
      </c>
      <c r="JI101" s="70" t="str">
        <f t="shared" si="42"/>
        <v>Nicaragua</v>
      </c>
    </row>
    <row r="102" spans="268:269" x14ac:dyDescent="0.3">
      <c r="JH102" s="69" t="str">
        <f t="shared" ref="JH102:JH109" si="43">JQ46&amp;JP30</f>
        <v>EspañolPanama</v>
      </c>
      <c r="JI102" s="70" t="str">
        <f>JI94</f>
        <v>Panamá</v>
      </c>
    </row>
    <row r="103" spans="268:269" x14ac:dyDescent="0.3">
      <c r="JH103" s="69" t="str">
        <f t="shared" si="43"/>
        <v>EspañolPérou</v>
      </c>
      <c r="JI103" s="70" t="str">
        <f t="shared" ref="JI103:JI117" si="44">JI95</f>
        <v>Perú</v>
      </c>
    </row>
    <row r="104" spans="268:269" x14ac:dyDescent="0.3">
      <c r="JH104" s="69" t="str">
        <f t="shared" si="43"/>
        <v>EspañolColombie</v>
      </c>
      <c r="JI104" s="70" t="str">
        <f t="shared" si="44"/>
        <v>Colombia</v>
      </c>
    </row>
    <row r="105" spans="268:269" x14ac:dyDescent="0.3">
      <c r="JH105" s="69" t="str">
        <f t="shared" si="43"/>
        <v>EspañolÉquateur</v>
      </c>
      <c r="JI105" s="70" t="str">
        <f t="shared" si="44"/>
        <v>Ecuador</v>
      </c>
    </row>
    <row r="106" spans="268:269" x14ac:dyDescent="0.3">
      <c r="JH106" s="69" t="str">
        <f t="shared" si="43"/>
        <v>EspañolÎles du Vent</v>
      </c>
      <c r="JI106" s="70" t="str">
        <f t="shared" si="44"/>
        <v>Islas Barlovento</v>
      </c>
    </row>
    <row r="107" spans="268:269" x14ac:dyDescent="0.3">
      <c r="JH107" s="69" t="str">
        <f t="shared" si="43"/>
        <v>EspañolCosta Rica</v>
      </c>
      <c r="JI107" s="70" t="str">
        <f t="shared" si="44"/>
        <v>Costa Rica</v>
      </c>
    </row>
    <row r="108" spans="268:269" x14ac:dyDescent="0.3">
      <c r="JH108" s="69" t="str">
        <f t="shared" si="43"/>
        <v>EspañolRépublique dominicaine</v>
      </c>
      <c r="JI108" s="70" t="str">
        <f t="shared" si="44"/>
        <v>República Dominicana</v>
      </c>
    </row>
    <row r="109" spans="268:269" x14ac:dyDescent="0.3">
      <c r="JH109" s="69" t="str">
        <f t="shared" si="43"/>
        <v>EspañolNicaragua</v>
      </c>
      <c r="JI109" s="70" t="str">
        <f t="shared" si="44"/>
        <v>Nicaragua</v>
      </c>
    </row>
    <row r="110" spans="268:269" x14ac:dyDescent="0.3">
      <c r="JH110" s="69" t="str">
        <f t="shared" ref="JH110:JH117" si="45">JQ46&amp;JP38</f>
        <v>EspañolPanamá</v>
      </c>
      <c r="JI110" s="70" t="str">
        <f t="shared" si="44"/>
        <v>Panamá</v>
      </c>
    </row>
    <row r="111" spans="268:269" x14ac:dyDescent="0.3">
      <c r="JH111" s="69" t="str">
        <f t="shared" si="45"/>
        <v>EspañolPeru</v>
      </c>
      <c r="JI111" s="70" t="str">
        <f t="shared" si="44"/>
        <v>Perú</v>
      </c>
    </row>
    <row r="112" spans="268:269" x14ac:dyDescent="0.3">
      <c r="JH112" s="69" t="str">
        <f t="shared" si="45"/>
        <v>EspañolColômbia</v>
      </c>
      <c r="JI112" s="70" t="str">
        <f t="shared" si="44"/>
        <v>Colombia</v>
      </c>
    </row>
    <row r="113" spans="268:269" x14ac:dyDescent="0.3">
      <c r="JH113" s="69" t="str">
        <f t="shared" si="45"/>
        <v>EspañolEquador</v>
      </c>
      <c r="JI113" s="70" t="str">
        <f t="shared" si="44"/>
        <v>Ecuador</v>
      </c>
    </row>
    <row r="114" spans="268:269" x14ac:dyDescent="0.3">
      <c r="JH114" s="69" t="str">
        <f t="shared" si="45"/>
        <v>EspañolIlhas do Barlavento</v>
      </c>
      <c r="JI114" s="70" t="str">
        <f t="shared" si="44"/>
        <v>Islas Barlovento</v>
      </c>
    </row>
    <row r="115" spans="268:269" x14ac:dyDescent="0.3">
      <c r="JH115" s="69" t="str">
        <f t="shared" si="45"/>
        <v>EspañolCosta Rica</v>
      </c>
      <c r="JI115" s="70" t="str">
        <f t="shared" si="44"/>
        <v>Costa Rica</v>
      </c>
    </row>
    <row r="116" spans="268:269" x14ac:dyDescent="0.3">
      <c r="JH116" s="69" t="str">
        <f t="shared" si="45"/>
        <v>EspañolRepública Dominicana</v>
      </c>
      <c r="JI116" s="70" t="str">
        <f t="shared" si="44"/>
        <v>República Dominicana</v>
      </c>
    </row>
    <row r="117" spans="268:269" x14ac:dyDescent="0.3">
      <c r="JH117" s="71" t="str">
        <f t="shared" si="45"/>
        <v>EspañolNicarágua</v>
      </c>
      <c r="JI117" s="73" t="str">
        <f t="shared" si="44"/>
        <v>Nicaragua</v>
      </c>
    </row>
  </sheetData>
  <sheetProtection algorithmName="SHA-512" hashValue="66TthVpcMV0a8P/r7bzIK2MD5ssBXkw0Fb0x2c0DcKnzJRf7o7fsS7pkBMxOdsID50JbmAdL8ppVf25uwx4cHg==" saltValue="+6aQ417Fnem2FAwVtHWiPw==" spinCount="100000" sheet="1" objects="1" scenarios="1"/>
  <mergeCells count="13">
    <mergeCell ref="C9:D9"/>
    <mergeCell ref="C8:D8"/>
    <mergeCell ref="B46:B47"/>
    <mergeCell ref="B4:D4"/>
    <mergeCell ref="B42:B43"/>
    <mergeCell ref="B44:B45"/>
    <mergeCell ref="B11:D11"/>
    <mergeCell ref="B24:B25"/>
    <mergeCell ref="B26:B27"/>
    <mergeCell ref="B6:D6"/>
    <mergeCell ref="B13:D13"/>
    <mergeCell ref="B31:D31"/>
    <mergeCell ref="B28:B29"/>
  </mergeCells>
  <conditionalFormatting sqref="C22">
    <cfRule type="expression" dxfId="0" priority="1">
      <formula>ISBLANK($C$21)</formula>
    </cfRule>
  </conditionalFormatting>
  <dataValidations count="4">
    <dataValidation type="list" allowBlank="1" showInputMessage="1" showErrorMessage="1" sqref="C9">
      <formula1>$KH$5:$KH$6</formula1>
    </dataValidation>
    <dataValidation type="list" allowBlank="1" showInputMessage="1" showErrorMessage="1" sqref="C10">
      <formula1>$KL$5:$KL$6</formula1>
    </dataValidation>
    <dataValidation type="list" allowBlank="1" showInputMessage="1" showErrorMessage="1" sqref="C8">
      <formula1>$KB$5:$KB$12</formula1>
    </dataValidation>
    <dataValidation type="list" allowBlank="1" showInputMessage="1" showErrorMessage="1" sqref="D2">
      <formula1>$KZ$4:$KZ$7</formula1>
    </dataValidation>
  </dataValidations>
  <pageMargins left="0.7" right="0.7" top="0.75" bottom="0.75" header="0.3" footer="0.3"/>
  <pageSetup paperSize="9" orientation="portrait" r:id="rId1"/>
  <ignoredErrors>
    <ignoredError sqref="C44 C45:C47"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prorata JP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user</cp:lastModifiedBy>
  <cp:lastPrinted>2018-10-31T15:05:48Z</cp:lastPrinted>
  <dcterms:created xsi:type="dcterms:W3CDTF">2018-07-16T02:52:01Z</dcterms:created>
  <dcterms:modified xsi:type="dcterms:W3CDTF">2021-02-24T16:17:57Z</dcterms:modified>
</cp:coreProperties>
</file>